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 tabRatio="830" firstSheet="1" activeTab="3"/>
  </bookViews>
  <sheets>
    <sheet name="指标分析表说明" sheetId="5" state="hidden" r:id="rId1"/>
    <sheet name="表1工程造价指标分析表" sheetId="1" r:id="rId2"/>
    <sheet name="表2工程造价指标分析表（市政工程）" sheetId="4" state="hidden" r:id="rId3"/>
    <sheet name="表2主要材料耗用量" sheetId="2" r:id="rId4"/>
    <sheet name="表1的附件数据（五~十项的）" sheetId="6" state="hidden" r:id="rId5"/>
  </sheets>
  <definedNames>
    <definedName name="_xlnm._FilterDatabase" localSheetId="1" hidden="1">表1工程造价指标分析表!$A$8:$L$52</definedName>
    <definedName name="_xlnm.Print_Area" localSheetId="1">表1工程造价指标分析表!$A$1:$L$53</definedName>
    <definedName name="_xlnm.Print_Area" localSheetId="2">'表2工程造价指标分析表（市政工程）'!$A$1:$I$29</definedName>
    <definedName name="_xlnm.Print_Area" localSheetId="3">表2主要材料耗用量!$A$1:$J$57</definedName>
    <definedName name="_xlnm.Print_Area" localSheetId="0">指标分析表说明!$A$1:$G$3</definedName>
    <definedName name="_xlnm.Print_Titles" localSheetId="1">表1工程造价指标分析表!$6:$6</definedName>
    <definedName name="_xlnm.Print_Titles" localSheetId="3">表2主要材料耗用量!$4:$4</definedName>
  </definedNames>
  <calcPr calcId="144525"/>
</workbook>
</file>

<file path=xl/calcChain.xml><?xml version="1.0" encoding="utf-8"?>
<calcChain xmlns="http://schemas.openxmlformats.org/spreadsheetml/2006/main">
  <c r="I52" i="1" l="1"/>
  <c r="K52" i="1" s="1"/>
  <c r="G36" i="1"/>
  <c r="F36" i="1"/>
  <c r="E36" i="1"/>
  <c r="D36" i="1"/>
  <c r="D29" i="1"/>
  <c r="F29" i="1"/>
  <c r="E29" i="1"/>
  <c r="F22" i="1"/>
  <c r="E22" i="1"/>
  <c r="D22" i="1"/>
  <c r="H8" i="1"/>
  <c r="G8" i="1"/>
  <c r="F8" i="1"/>
  <c r="E8" i="1"/>
  <c r="I8" i="1" s="1"/>
  <c r="K8" i="1" s="1"/>
  <c r="D8" i="1"/>
  <c r="I14" i="1"/>
  <c r="I10" i="1"/>
  <c r="I9" i="1"/>
  <c r="I12" i="1"/>
  <c r="I11" i="1"/>
  <c r="K10" i="1" l="1"/>
  <c r="K9" i="1"/>
  <c r="M44" i="6"/>
  <c r="L44" i="6"/>
  <c r="K44" i="6"/>
  <c r="J44" i="6"/>
  <c r="M43" i="6"/>
  <c r="L43" i="6"/>
  <c r="K43" i="6"/>
  <c r="J43" i="6"/>
  <c r="H42" i="6"/>
  <c r="E42" i="6"/>
  <c r="C42" i="6"/>
  <c r="H41" i="6"/>
  <c r="G41" i="6"/>
  <c r="F41" i="6"/>
  <c r="E41" i="6"/>
  <c r="D41" i="6"/>
  <c r="C41" i="6"/>
  <c r="B41" i="6"/>
  <c r="H40" i="6"/>
  <c r="F40" i="6"/>
  <c r="E40" i="6"/>
  <c r="C40" i="6"/>
  <c r="H39" i="6"/>
  <c r="F39" i="6"/>
  <c r="E39" i="6"/>
  <c r="C39" i="6"/>
  <c r="H38" i="6"/>
  <c r="F38" i="6"/>
  <c r="E38" i="6"/>
  <c r="C38" i="6"/>
  <c r="H37" i="6"/>
  <c r="G37" i="6"/>
  <c r="F37" i="6"/>
  <c r="E37" i="6"/>
  <c r="D37" i="6"/>
  <c r="C37" i="6"/>
  <c r="B37" i="6"/>
  <c r="H36" i="6"/>
  <c r="F36" i="6"/>
  <c r="E36" i="6"/>
  <c r="C36" i="6"/>
  <c r="H35" i="6"/>
  <c r="F35" i="6"/>
  <c r="E35" i="6"/>
  <c r="C35" i="6"/>
  <c r="H34" i="6"/>
  <c r="F34" i="6"/>
  <c r="E34" i="6"/>
  <c r="C34" i="6"/>
  <c r="H33" i="6"/>
  <c r="G33" i="6"/>
  <c r="F33" i="6"/>
  <c r="E33" i="6"/>
  <c r="D33" i="6"/>
  <c r="C33" i="6"/>
  <c r="B33" i="6"/>
  <c r="H32" i="6"/>
  <c r="F32" i="6"/>
  <c r="E32" i="6"/>
  <c r="C32" i="6"/>
  <c r="H31" i="6"/>
  <c r="G31" i="6"/>
  <c r="F31" i="6"/>
  <c r="E31" i="6"/>
  <c r="D31" i="6"/>
  <c r="C31" i="6"/>
  <c r="B31" i="6"/>
  <c r="H30" i="6"/>
  <c r="F30" i="6"/>
  <c r="E30" i="6"/>
  <c r="C30" i="6"/>
  <c r="H29" i="6"/>
  <c r="F29" i="6"/>
  <c r="E29" i="6"/>
  <c r="C29" i="6"/>
  <c r="H28" i="6"/>
  <c r="G28" i="6"/>
  <c r="F28" i="6"/>
  <c r="E28" i="6"/>
  <c r="D28" i="6"/>
  <c r="C28" i="6"/>
  <c r="B28" i="6"/>
  <c r="H27" i="6"/>
  <c r="F27" i="6"/>
  <c r="E27" i="6"/>
  <c r="C27" i="6"/>
  <c r="H26" i="6"/>
  <c r="F26" i="6"/>
  <c r="E26" i="6"/>
  <c r="C26" i="6"/>
  <c r="H25" i="6"/>
  <c r="F25" i="6"/>
  <c r="E25" i="6"/>
  <c r="C25" i="6"/>
  <c r="H24" i="6"/>
  <c r="G24" i="6"/>
  <c r="F24" i="6"/>
  <c r="E24" i="6"/>
  <c r="D24" i="6"/>
  <c r="C24" i="6"/>
  <c r="B24" i="6"/>
  <c r="H23" i="6"/>
  <c r="F23" i="6"/>
  <c r="E23" i="6"/>
  <c r="C23" i="6"/>
  <c r="H22" i="6"/>
  <c r="F22" i="6"/>
  <c r="E22" i="6"/>
  <c r="C22" i="6"/>
  <c r="H21" i="6"/>
  <c r="F21" i="6"/>
  <c r="E21" i="6"/>
  <c r="C21" i="6"/>
  <c r="H20" i="6"/>
  <c r="F20" i="6"/>
  <c r="E20" i="6"/>
  <c r="C20" i="6"/>
  <c r="H19" i="6"/>
  <c r="F19" i="6"/>
  <c r="E19" i="6"/>
  <c r="C19" i="6"/>
  <c r="H18" i="6"/>
  <c r="G18" i="6"/>
  <c r="F18" i="6"/>
  <c r="E18" i="6"/>
  <c r="D18" i="6"/>
  <c r="C18" i="6"/>
  <c r="B18" i="6"/>
  <c r="H17" i="6"/>
  <c r="F17" i="6"/>
  <c r="E17" i="6"/>
  <c r="C17" i="6"/>
  <c r="H16" i="6"/>
  <c r="F16" i="6"/>
  <c r="E16" i="6"/>
  <c r="C16" i="6"/>
  <c r="H15" i="6"/>
  <c r="F15" i="6"/>
  <c r="E15" i="6"/>
  <c r="C15" i="6"/>
  <c r="H14" i="6"/>
  <c r="F14" i="6"/>
  <c r="E14" i="6"/>
  <c r="C14" i="6"/>
  <c r="H13" i="6"/>
  <c r="F13" i="6"/>
  <c r="E13" i="6"/>
  <c r="C13" i="6"/>
  <c r="H12" i="6"/>
  <c r="G12" i="6"/>
  <c r="F12" i="6"/>
  <c r="E12" i="6"/>
  <c r="D12" i="6"/>
  <c r="C12" i="6"/>
  <c r="B12" i="6"/>
  <c r="H11" i="6"/>
  <c r="F11" i="6"/>
  <c r="E11" i="6"/>
  <c r="C11" i="6"/>
  <c r="H10" i="6"/>
  <c r="F10" i="6"/>
  <c r="E10" i="6"/>
  <c r="C10" i="6"/>
  <c r="H9" i="6"/>
  <c r="F9" i="6"/>
  <c r="E9" i="6"/>
  <c r="C9" i="6"/>
  <c r="H8" i="6"/>
  <c r="F8" i="6"/>
  <c r="E8" i="6"/>
  <c r="C8" i="6"/>
  <c r="H7" i="6"/>
  <c r="G7" i="6"/>
  <c r="F7" i="6"/>
  <c r="E7" i="6"/>
  <c r="D7" i="6"/>
  <c r="C7" i="6"/>
  <c r="B7" i="6"/>
  <c r="H6" i="6"/>
  <c r="F6" i="6"/>
  <c r="E6" i="6"/>
  <c r="C6" i="6"/>
  <c r="H5" i="6"/>
  <c r="F5" i="6"/>
  <c r="E5" i="6"/>
  <c r="C5" i="6"/>
  <c r="H4" i="6"/>
  <c r="F4" i="6"/>
  <c r="E4" i="6"/>
  <c r="C4" i="6"/>
  <c r="H3" i="6"/>
  <c r="F3" i="6"/>
  <c r="E3" i="6"/>
  <c r="C3" i="6"/>
  <c r="H2" i="6"/>
  <c r="G2" i="6"/>
  <c r="F2" i="6"/>
  <c r="E2" i="6"/>
  <c r="D2" i="6"/>
  <c r="C2" i="6"/>
  <c r="B2" i="6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D49" i="2"/>
  <c r="I48" i="2"/>
  <c r="J48" i="2" s="1"/>
  <c r="F48" i="2"/>
  <c r="E48" i="2"/>
  <c r="J47" i="2"/>
  <c r="I47" i="2"/>
  <c r="I46" i="2"/>
  <c r="J46" i="2" s="1"/>
  <c r="J45" i="2"/>
  <c r="I45" i="2"/>
  <c r="I44" i="2"/>
  <c r="J44" i="2" s="1"/>
  <c r="J43" i="2"/>
  <c r="I43" i="2"/>
  <c r="I42" i="2"/>
  <c r="J42" i="2" s="1"/>
  <c r="J41" i="2"/>
  <c r="I41" i="2"/>
  <c r="I40" i="2"/>
  <c r="J40" i="2" s="1"/>
  <c r="J39" i="2"/>
  <c r="I39" i="2"/>
  <c r="I38" i="2"/>
  <c r="J38" i="2" s="1"/>
  <c r="I37" i="2"/>
  <c r="J37" i="2" s="1"/>
  <c r="I36" i="2"/>
  <c r="J36" i="2" s="1"/>
  <c r="I35" i="2"/>
  <c r="J35" i="2" s="1"/>
  <c r="D35" i="2"/>
  <c r="D34" i="2"/>
  <c r="I34" i="2" s="1"/>
  <c r="J34" i="2" s="1"/>
  <c r="D33" i="2"/>
  <c r="I33" i="2" s="1"/>
  <c r="J33" i="2" s="1"/>
  <c r="I32" i="2"/>
  <c r="J32" i="2" s="1"/>
  <c r="I31" i="2"/>
  <c r="J31" i="2" s="1"/>
  <c r="D31" i="2"/>
  <c r="D30" i="2"/>
  <c r="I30" i="2" s="1"/>
  <c r="J30" i="2" s="1"/>
  <c r="I29" i="2"/>
  <c r="J29" i="2" s="1"/>
  <c r="D28" i="2"/>
  <c r="I28" i="2" s="1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F20" i="2"/>
  <c r="F19" i="2"/>
  <c r="I19" i="2" s="1"/>
  <c r="J19" i="2" s="1"/>
  <c r="I18" i="2"/>
  <c r="J18" i="2" s="1"/>
  <c r="F18" i="2"/>
  <c r="F17" i="2"/>
  <c r="E17" i="2"/>
  <c r="I17" i="2" s="1"/>
  <c r="J17" i="2" s="1"/>
  <c r="F16" i="2"/>
  <c r="I16" i="2" s="1"/>
  <c r="J16" i="2" s="1"/>
  <c r="E15" i="2"/>
  <c r="E14" i="2"/>
  <c r="F13" i="2"/>
  <c r="I13" i="2" s="1"/>
  <c r="J13" i="2" s="1"/>
  <c r="F12" i="2"/>
  <c r="D12" i="2"/>
  <c r="I12" i="2" s="1"/>
  <c r="J12" i="2" s="1"/>
  <c r="E11" i="2"/>
  <c r="F10" i="2"/>
  <c r="I10" i="2" s="1"/>
  <c r="J10" i="2" s="1"/>
  <c r="I9" i="2"/>
  <c r="J9" i="2" s="1"/>
  <c r="F9" i="2"/>
  <c r="I8" i="2"/>
  <c r="J8" i="2" s="1"/>
  <c r="E7" i="2"/>
  <c r="F7" i="2" s="1"/>
  <c r="I7" i="2" s="1"/>
  <c r="J7" i="2" s="1"/>
  <c r="J6" i="2"/>
  <c r="I6" i="2"/>
  <c r="D5" i="2"/>
  <c r="I5" i="2" s="1"/>
  <c r="J5" i="2" s="1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H48" i="1"/>
  <c r="G48" i="1"/>
  <c r="F48" i="1"/>
  <c r="E48" i="1"/>
  <c r="D48" i="1"/>
  <c r="H47" i="1"/>
  <c r="G47" i="1"/>
  <c r="F47" i="1"/>
  <c r="E47" i="1"/>
  <c r="D47" i="1"/>
  <c r="H46" i="1"/>
  <c r="H45" i="1" s="1"/>
  <c r="G46" i="1"/>
  <c r="G45" i="1" s="1"/>
  <c r="F46" i="1"/>
  <c r="E46" i="1"/>
  <c r="E45" i="1" s="1"/>
  <c r="E49" i="1" s="1"/>
  <c r="D46" i="1"/>
  <c r="K44" i="1"/>
  <c r="I44" i="1"/>
  <c r="I43" i="1"/>
  <c r="K43" i="1" s="1"/>
  <c r="K42" i="1"/>
  <c r="I42" i="1"/>
  <c r="I41" i="1"/>
  <c r="K41" i="1" s="1"/>
  <c r="K40" i="1"/>
  <c r="I40" i="1"/>
  <c r="I39" i="1"/>
  <c r="K39" i="1" s="1"/>
  <c r="K38" i="1"/>
  <c r="I38" i="1"/>
  <c r="I37" i="1"/>
  <c r="K37" i="1" s="1"/>
  <c r="H36" i="1"/>
  <c r="I36" i="1" s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H29" i="1"/>
  <c r="G29" i="1"/>
  <c r="I29" i="1" s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H22" i="1"/>
  <c r="G22" i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K14" i="1"/>
  <c r="K13" i="1"/>
  <c r="I13" i="1"/>
  <c r="K12" i="1"/>
  <c r="K11" i="1"/>
  <c r="I7" i="1"/>
  <c r="I14" i="2" l="1"/>
  <c r="J14" i="2" s="1"/>
  <c r="I15" i="2"/>
  <c r="J15" i="2" s="1"/>
  <c r="F14" i="2"/>
  <c r="F15" i="2"/>
  <c r="F11" i="2"/>
  <c r="I11" i="2" s="1"/>
  <c r="J11" i="2" s="1"/>
  <c r="E50" i="1"/>
  <c r="E51" i="1" s="1"/>
  <c r="G49" i="1"/>
  <c r="I22" i="1"/>
  <c r="K22" i="1" s="1"/>
  <c r="I46" i="1"/>
  <c r="K46" i="1" s="1"/>
  <c r="D45" i="1"/>
  <c r="I47" i="1"/>
  <c r="K47" i="1" s="1"/>
  <c r="F45" i="1"/>
  <c r="F49" i="1" s="1"/>
  <c r="I48" i="1"/>
  <c r="K48" i="1" s="1"/>
  <c r="H49" i="1"/>
  <c r="F50" i="1" l="1"/>
  <c r="F51" i="1" s="1"/>
  <c r="G50" i="1"/>
  <c r="G51" i="1" s="1"/>
  <c r="H50" i="1"/>
  <c r="H51" i="1"/>
  <c r="I45" i="1"/>
  <c r="D49" i="1"/>
  <c r="K45" i="1" l="1"/>
  <c r="I49" i="1"/>
  <c r="K49" i="1" s="1"/>
  <c r="D50" i="1"/>
  <c r="I50" i="1" s="1"/>
  <c r="K50" i="1" l="1"/>
  <c r="L50" i="1"/>
  <c r="D51" i="1"/>
  <c r="I51" i="1" s="1"/>
  <c r="L51" i="1" l="1"/>
  <c r="K51" i="1"/>
  <c r="L36" i="1"/>
  <c r="L34" i="1"/>
  <c r="L15" i="1"/>
  <c r="L31" i="1"/>
  <c r="L12" i="1"/>
  <c r="L28" i="1"/>
  <c r="L13" i="1"/>
  <c r="L25" i="1"/>
  <c r="L10" i="1"/>
  <c r="L18" i="1"/>
  <c r="L38" i="1"/>
  <c r="L19" i="1"/>
  <c r="L35" i="1"/>
  <c r="L16" i="1"/>
  <c r="L32" i="1"/>
  <c r="L9" i="1"/>
  <c r="L14" i="1"/>
  <c r="L8" i="1"/>
  <c r="L29" i="1"/>
  <c r="L26" i="1"/>
  <c r="L42" i="1"/>
  <c r="L23" i="1"/>
  <c r="L39" i="1"/>
  <c r="L20" i="1"/>
  <c r="L40" i="1"/>
  <c r="L17" i="1"/>
  <c r="L37" i="1"/>
  <c r="L52" i="1"/>
  <c r="L22" i="1"/>
  <c r="L46" i="1"/>
  <c r="L30" i="1"/>
  <c r="L11" i="1"/>
  <c r="L27" i="1"/>
  <c r="L43" i="1"/>
  <c r="L24" i="1"/>
  <c r="L44" i="1"/>
  <c r="L21" i="1"/>
  <c r="L41" i="1"/>
  <c r="L47" i="1"/>
  <c r="L33" i="1"/>
  <c r="L48" i="1"/>
  <c r="L45" i="1"/>
</calcChain>
</file>

<file path=xl/sharedStrings.xml><?xml version="1.0" encoding="utf-8"?>
<sst xmlns="http://schemas.openxmlformats.org/spreadsheetml/2006/main" count="276" uniqueCount="214">
  <si>
    <t>附件3 建设工程造价指标分析表</t>
  </si>
  <si>
    <t>建设工程造价指标分析表说明</t>
  </si>
  <si>
    <r>
      <rPr>
        <sz val="12"/>
        <color theme="1"/>
        <rFont val="宋体"/>
        <charset val="134"/>
        <scheme val="minor"/>
      </rPr>
      <t xml:space="preserve">    
     </t>
    </r>
    <r>
      <rPr>
        <sz val="14"/>
        <color theme="1"/>
        <rFont val="宋体"/>
        <charset val="134"/>
        <scheme val="minor"/>
      </rPr>
      <t>一、建设工程造价指标分析表暂时主要包含如下三个表格：
    表1建设工程造价指标分析表（建筑工程）
    表2建设工程造价指标分析表（市政工程）
    表3主要材料耗用量
    二、表3为必填表格，表1和表2根据不同专业工程选择填写。
    三、表1表2表3只是包含一般工程的内容，不同的工程编制单位应根据实际情况增加或删减。
   四、目前市造价站对指标分析表也在探索阶段，编制单位在填报过程如有更好的建议，请及时向我站反馈。</t>
    </r>
    <r>
      <rPr>
        <sz val="12"/>
        <color theme="1"/>
        <rFont val="宋体"/>
        <charset val="134"/>
        <scheme val="minor"/>
      </rPr>
      <t xml:space="preserve">
</t>
    </r>
  </si>
  <si>
    <t>项目名称</t>
  </si>
  <si>
    <t>建设单位</t>
  </si>
  <si>
    <t>造价单位</t>
  </si>
  <si>
    <t>工程造价分析</t>
  </si>
  <si>
    <t>序号</t>
  </si>
  <si>
    <t>费用名称</t>
  </si>
  <si>
    <t>单方造价
（元/㎡）</t>
  </si>
  <si>
    <t>占总造价
比例（%）</t>
  </si>
  <si>
    <t>电气工程</t>
  </si>
  <si>
    <t>措施项目费</t>
  </si>
  <si>
    <t>绿色施工安全防护措施费</t>
  </si>
  <si>
    <t>其他措施项目费</t>
  </si>
  <si>
    <t>其他项目费</t>
  </si>
  <si>
    <t>税金</t>
  </si>
  <si>
    <t>含税工程造价</t>
  </si>
  <si>
    <t>人工费</t>
  </si>
  <si>
    <r>
      <rPr>
        <b/>
        <sz val="11"/>
        <color theme="1"/>
        <rFont val="宋体"/>
        <charset val="134"/>
        <scheme val="minor"/>
      </rPr>
      <t xml:space="preserve">表2              </t>
    </r>
    <r>
      <rPr>
        <b/>
        <sz val="18"/>
        <color theme="1"/>
        <rFont val="宋体"/>
        <charset val="134"/>
        <scheme val="minor"/>
      </rPr>
      <t>建设工程造价指标分析表</t>
    </r>
    <r>
      <rPr>
        <b/>
        <sz val="11"/>
        <color theme="1"/>
        <rFont val="宋体"/>
        <charset val="134"/>
        <scheme val="minor"/>
      </rPr>
      <t>（市政工程）</t>
    </r>
  </si>
  <si>
    <t xml:space="preserve">                                                       填表时间：   年  月   日</t>
  </si>
  <si>
    <t>（加盖公章）</t>
  </si>
  <si>
    <t xml:space="preserve">工程概况特征：本工程为（）道路，长度（）米，包含道路、排水、园林绿化、交通设施、标线、智能交通等工程。其中：
1、道路：全长（）米，道路红线宽度（）米，道路面积（）平方米，车道数量（）。
2、排水：雨污水管长度（）米，采用（）分流，管材采用（）排水管。检查井（）。
3、桥梁：桥梁数（）座，每座桥梁长度（）米，
3、园林绿化：…… 4、交通设施：……5、标线：……6、智能交通：……
（以上资料根据项目具体情况填写）
</t>
  </si>
  <si>
    <t>地下部分</t>
  </si>
  <si>
    <t>地上部分</t>
  </si>
  <si>
    <t>金额（元）</t>
  </si>
  <si>
    <t>建筑安装工程</t>
  </si>
  <si>
    <t>道路工程</t>
  </si>
  <si>
    <t>排水工程</t>
  </si>
  <si>
    <t>园林绿化工程</t>
  </si>
  <si>
    <t>交通设施工程</t>
  </si>
  <si>
    <t>桥梁工程</t>
  </si>
  <si>
    <t>标线工程</t>
  </si>
  <si>
    <t>智能交通工程</t>
  </si>
  <si>
    <t>其他工程（上述未包含部分可以补充）</t>
  </si>
  <si>
    <t>规费</t>
  </si>
  <si>
    <t>税前工程造价（1+2+3+4）</t>
  </si>
  <si>
    <t>含税工程造价（5+6）</t>
  </si>
  <si>
    <t>t</t>
  </si>
  <si>
    <t>kg</t>
  </si>
  <si>
    <t>m2</t>
  </si>
  <si>
    <t>m3</t>
  </si>
  <si>
    <t>m</t>
  </si>
  <si>
    <t>税前工程造价</t>
  </si>
  <si>
    <t>措施项目合计</t>
  </si>
  <si>
    <t>增值税销项税额</t>
  </si>
  <si>
    <t>分部人工</t>
  </si>
  <si>
    <t>措施人工</t>
  </si>
  <si>
    <t>雅翠花园(五期)-建筑工程</t>
  </si>
  <si>
    <t>雅翠花园(五期)地下室-建筑装饰工程</t>
  </si>
  <si>
    <t>雅翠花园(五期)1号住宅楼-建筑装饰工程</t>
  </si>
  <si>
    <t>雅翠花园(五期)2号住宅楼-建筑装饰工程</t>
  </si>
  <si>
    <t>雅翠花园(五期)3号商铺-建筑装饰工程</t>
  </si>
  <si>
    <t>雅翠花园(五期)-电气工程</t>
  </si>
  <si>
    <t>地下室-电气工程</t>
  </si>
  <si>
    <t>1号住宅楼-电气工程</t>
  </si>
  <si>
    <t>2号住宅楼-电气工程</t>
  </si>
  <si>
    <t>3号商铺-电气工程</t>
  </si>
  <si>
    <t>雅翠花园(五期)-给排水工程</t>
  </si>
  <si>
    <t>地下室-给排水工程</t>
  </si>
  <si>
    <t>1号住宅楼-给排水工程</t>
  </si>
  <si>
    <t>2号住宅楼-给排水工程</t>
  </si>
  <si>
    <t>3号商铺-给排水工程</t>
  </si>
  <si>
    <t>室外-给排水工程</t>
  </si>
  <si>
    <t>雅翠花园(五期)-消防工程</t>
  </si>
  <si>
    <t>地下室-消防工程</t>
  </si>
  <si>
    <t>1号住宅楼-消防工程</t>
  </si>
  <si>
    <t>2号住宅楼-消防工程</t>
  </si>
  <si>
    <t>3号商铺-消防工程</t>
  </si>
  <si>
    <t>室外-消防工程</t>
  </si>
  <si>
    <t>雅翠花园(五期)-通风、防排烟工程</t>
  </si>
  <si>
    <t>地下室-通风、防排烟工程</t>
  </si>
  <si>
    <t>1号住宅楼-通风、防排烟工程</t>
  </si>
  <si>
    <t>2号住宅楼-通风、防排烟工程</t>
  </si>
  <si>
    <t>雅翠花园(五期)-电梯工程</t>
  </si>
  <si>
    <t>1号住宅楼-电梯工程</t>
  </si>
  <si>
    <t>2号住宅楼-电梯工程</t>
  </si>
  <si>
    <t>雅翠花园(五期)-变配电工程</t>
  </si>
  <si>
    <t>雅翠花园(五期)-精装修工程-装饰工程</t>
  </si>
  <si>
    <t>雅翠花园(五期)地下室-精装修工程-装饰工程</t>
  </si>
  <si>
    <t>雅翠花园(五期)1号住宅楼-精装修工程-装饰工程</t>
  </si>
  <si>
    <t>雅翠花园(五期)2号住宅楼-精装修工程-装饰工程</t>
  </si>
  <si>
    <t>雅翠花园(五期)-精装修工程-安装工程</t>
  </si>
  <si>
    <t>雅翠花园(五期)地下室-精装修工程-安装工程</t>
  </si>
  <si>
    <t>雅翠花园(五期)1号住宅楼-精装修工程-安装工程</t>
  </si>
  <si>
    <t>雅翠花园(五期)2号住宅楼-精装修工程-安装工程</t>
  </si>
  <si>
    <t>合计</t>
  </si>
  <si>
    <r>
      <rPr>
        <b/>
        <sz val="12"/>
        <color rgb="FF333333"/>
        <rFont val="宋体"/>
        <family val="3"/>
        <charset val="134"/>
      </rPr>
      <t>序号</t>
    </r>
  </si>
  <si>
    <r>
      <rPr>
        <b/>
        <sz val="12"/>
        <color rgb="FF333333"/>
        <rFont val="宋体"/>
        <family val="3"/>
        <charset val="134"/>
      </rPr>
      <t>费用名称</t>
    </r>
  </si>
  <si>
    <r>
      <rPr>
        <b/>
        <sz val="12"/>
        <color rgb="FF333333"/>
        <rFont val="宋体"/>
        <family val="3"/>
        <charset val="134"/>
      </rPr>
      <t>地下室</t>
    </r>
  </si>
  <si>
    <r>
      <t>1</t>
    </r>
    <r>
      <rPr>
        <b/>
        <sz val="12"/>
        <color rgb="FF333333"/>
        <rFont val="宋体"/>
        <family val="3"/>
        <charset val="134"/>
      </rPr>
      <t>号住宅楼</t>
    </r>
  </si>
  <si>
    <r>
      <t>2</t>
    </r>
    <r>
      <rPr>
        <b/>
        <sz val="12"/>
        <color rgb="FF333333"/>
        <rFont val="宋体"/>
        <family val="3"/>
        <charset val="134"/>
      </rPr>
      <t>号住宅楼</t>
    </r>
  </si>
  <si>
    <r>
      <t>3</t>
    </r>
    <r>
      <rPr>
        <b/>
        <sz val="12"/>
        <color rgb="FF333333"/>
        <rFont val="宋体"/>
        <family val="3"/>
        <charset val="134"/>
      </rPr>
      <t>号商铺</t>
    </r>
  </si>
  <si>
    <r>
      <rPr>
        <b/>
        <sz val="12"/>
        <color rgb="FF333333"/>
        <rFont val="宋体"/>
        <family val="3"/>
        <charset val="134"/>
      </rPr>
      <t>室外</t>
    </r>
  </si>
  <si>
    <r>
      <rPr>
        <b/>
        <sz val="12"/>
        <color rgb="FF333333"/>
        <rFont val="宋体"/>
        <family val="3"/>
        <charset val="134"/>
      </rPr>
      <t>一</t>
    </r>
  </si>
  <si>
    <r>
      <rPr>
        <b/>
        <sz val="12"/>
        <color rgb="FF333333"/>
        <rFont val="宋体"/>
        <family val="3"/>
        <charset val="134"/>
      </rPr>
      <t>建筑工程</t>
    </r>
  </si>
  <si>
    <r>
      <rPr>
        <b/>
        <sz val="12"/>
        <color rgb="FF333333"/>
        <rFont val="宋体"/>
        <family val="3"/>
        <charset val="134"/>
      </rPr>
      <t>二</t>
    </r>
  </si>
  <si>
    <r>
      <rPr>
        <b/>
        <sz val="12"/>
        <color rgb="FF333333"/>
        <rFont val="宋体"/>
        <family val="3"/>
        <charset val="134"/>
      </rPr>
      <t>安装工程</t>
    </r>
  </si>
  <si>
    <r>
      <rPr>
        <b/>
        <sz val="12"/>
        <color rgb="FF333333"/>
        <rFont val="宋体"/>
        <family val="3"/>
        <charset val="134"/>
      </rPr>
      <t>三</t>
    </r>
  </si>
  <si>
    <r>
      <rPr>
        <b/>
        <sz val="12"/>
        <color rgb="FF333333"/>
        <rFont val="宋体"/>
        <family val="3"/>
        <charset val="134"/>
      </rPr>
      <t>精装修装饰工程</t>
    </r>
  </si>
  <si>
    <r>
      <rPr>
        <b/>
        <sz val="12"/>
        <color rgb="FF333333"/>
        <rFont val="宋体"/>
        <family val="3"/>
        <charset val="134"/>
      </rPr>
      <t>四</t>
    </r>
  </si>
  <si>
    <r>
      <rPr>
        <b/>
        <sz val="12"/>
        <color rgb="FF333333"/>
        <rFont val="宋体"/>
        <family val="3"/>
        <charset val="134"/>
      </rPr>
      <t>精装修安装工程</t>
    </r>
  </si>
  <si>
    <r>
      <rPr>
        <b/>
        <sz val="12"/>
        <color rgb="FF333333"/>
        <rFont val="宋体"/>
        <family val="3"/>
        <charset val="134"/>
      </rPr>
      <t>五</t>
    </r>
  </si>
  <si>
    <r>
      <rPr>
        <b/>
        <sz val="12"/>
        <color rgb="FF333333"/>
        <rFont val="宋体"/>
        <family val="3"/>
        <charset val="134"/>
      </rPr>
      <t>措施项目费</t>
    </r>
  </si>
  <si>
    <r>
      <rPr>
        <b/>
        <sz val="12"/>
        <color rgb="FF333333"/>
        <rFont val="宋体"/>
        <family val="3"/>
        <charset val="134"/>
      </rPr>
      <t>六</t>
    </r>
  </si>
  <si>
    <r>
      <rPr>
        <b/>
        <sz val="12"/>
        <color rgb="FF333333"/>
        <rFont val="宋体"/>
        <family val="3"/>
        <charset val="134"/>
      </rPr>
      <t>其他项目费</t>
    </r>
  </si>
  <si>
    <r>
      <rPr>
        <b/>
        <sz val="12"/>
        <color rgb="FF333333"/>
        <rFont val="宋体"/>
        <family val="3"/>
        <charset val="134"/>
      </rPr>
      <t>七</t>
    </r>
  </si>
  <si>
    <r>
      <rPr>
        <b/>
        <sz val="12"/>
        <color rgb="FF333333"/>
        <rFont val="宋体"/>
        <family val="3"/>
        <charset val="134"/>
      </rPr>
      <t>八</t>
    </r>
  </si>
  <si>
    <r>
      <rPr>
        <b/>
        <sz val="12"/>
        <color rgb="FF333333"/>
        <rFont val="宋体"/>
        <family val="3"/>
        <charset val="134"/>
      </rPr>
      <t>税金</t>
    </r>
  </si>
  <si>
    <r>
      <rPr>
        <b/>
        <sz val="12"/>
        <color rgb="FF333333"/>
        <rFont val="宋体"/>
        <family val="3"/>
        <charset val="134"/>
      </rPr>
      <t>九</t>
    </r>
  </si>
  <si>
    <r>
      <rPr>
        <b/>
        <sz val="12"/>
        <color rgb="FF333333"/>
        <rFont val="宋体"/>
        <family val="3"/>
        <charset val="134"/>
      </rPr>
      <t>含税工程造价</t>
    </r>
  </si>
  <si>
    <r>
      <rPr>
        <b/>
        <sz val="12"/>
        <color rgb="FF333333"/>
        <rFont val="宋体"/>
        <family val="3"/>
        <charset val="134"/>
      </rPr>
      <t>十</t>
    </r>
  </si>
  <si>
    <r>
      <rPr>
        <b/>
        <sz val="12"/>
        <color rgb="FF333333"/>
        <rFont val="宋体"/>
        <family val="3"/>
        <charset val="134"/>
      </rPr>
      <t>人工费</t>
    </r>
  </si>
  <si>
    <r>
      <rPr>
        <b/>
        <sz val="12"/>
        <color rgb="FF333333"/>
        <rFont val="宋体"/>
        <family val="3"/>
        <charset val="134"/>
      </rPr>
      <t>合计</t>
    </r>
    <r>
      <rPr>
        <b/>
        <sz val="12"/>
        <color rgb="FF333333"/>
        <rFont val="Times New Roman"/>
        <family val="1"/>
      </rPr>
      <t>/</t>
    </r>
    <r>
      <rPr>
        <b/>
        <sz val="12"/>
        <color rgb="FF333333"/>
        <rFont val="宋体"/>
        <family val="3"/>
        <charset val="134"/>
      </rPr>
      <t>总金额（元）</t>
    </r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</si>
  <si>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</t>
    </r>
    <r>
      <rPr>
        <b/>
        <sz val="12"/>
        <color rgb="FF333333"/>
        <rFont val="宋体"/>
        <family val="3"/>
        <charset val="134"/>
      </rPr>
      <t>㎡）</t>
    </r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</si>
  <si>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</si>
  <si>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2"/>
        <color rgb="FF333333"/>
        <rFont val="宋体"/>
        <family val="3"/>
        <charset val="134"/>
      </rPr>
      <t>单项建筑面积</t>
    </r>
    <r>
      <rPr>
        <b/>
        <sz val="12"/>
        <color rgb="FF333333"/>
        <rFont val="Times New Roman"/>
        <family val="1"/>
      </rPr>
      <t>/</t>
    </r>
    <r>
      <rPr>
        <b/>
        <sz val="12"/>
        <color rgb="FF333333"/>
        <rFont val="宋体"/>
        <family val="3"/>
        <charset val="134"/>
      </rPr>
      <t>㎡</t>
    </r>
  </si>
  <si>
    <r>
      <rPr>
        <b/>
        <sz val="12"/>
        <color rgb="FF333333"/>
        <rFont val="宋体"/>
        <family val="3"/>
        <charset val="134"/>
      </rPr>
      <t>税前工程造价
（一</t>
    </r>
    <r>
      <rPr>
        <b/>
        <sz val="12"/>
        <color rgb="FF333333"/>
        <rFont val="Times New Roman"/>
        <family val="1"/>
      </rPr>
      <t>+</t>
    </r>
    <r>
      <rPr>
        <b/>
        <sz val="12"/>
        <color rgb="FF333333"/>
        <rFont val="宋体"/>
        <family val="3"/>
        <charset val="134"/>
      </rPr>
      <t>二</t>
    </r>
    <r>
      <rPr>
        <b/>
        <sz val="12"/>
        <color rgb="FF333333"/>
        <rFont val="Times New Roman"/>
        <family val="1"/>
      </rPr>
      <t>+</t>
    </r>
    <r>
      <rPr>
        <b/>
        <sz val="12"/>
        <color rgb="FF333333"/>
        <rFont val="宋体"/>
        <family val="3"/>
        <charset val="134"/>
      </rPr>
      <t>三</t>
    </r>
    <r>
      <rPr>
        <b/>
        <sz val="12"/>
        <color rgb="FF333333"/>
        <rFont val="Times New Roman"/>
        <family val="1"/>
      </rPr>
      <t>+</t>
    </r>
    <r>
      <rPr>
        <b/>
        <sz val="12"/>
        <color rgb="FF333333"/>
        <rFont val="宋体"/>
        <family val="3"/>
        <charset val="134"/>
      </rPr>
      <t>四</t>
    </r>
    <r>
      <rPr>
        <b/>
        <sz val="12"/>
        <color rgb="FF333333"/>
        <rFont val="Times New Roman"/>
        <family val="1"/>
      </rPr>
      <t>+</t>
    </r>
    <r>
      <rPr>
        <b/>
        <sz val="12"/>
        <color rgb="FF333333"/>
        <rFont val="宋体"/>
        <family val="3"/>
        <charset val="134"/>
      </rPr>
      <t>五</t>
    </r>
    <r>
      <rPr>
        <b/>
        <sz val="12"/>
        <color rgb="FF333333"/>
        <rFont val="Times New Roman"/>
        <family val="1"/>
      </rPr>
      <t>+</t>
    </r>
    <r>
      <rPr>
        <b/>
        <sz val="12"/>
        <color rgb="FF333333"/>
        <rFont val="宋体"/>
        <family val="3"/>
        <charset val="134"/>
      </rPr>
      <t>六）</t>
    </r>
  </si>
  <si>
    <r>
      <rPr>
        <b/>
        <sz val="14"/>
        <color theme="1"/>
        <rFont val="宋体"/>
        <family val="3"/>
        <charset val="134"/>
      </rPr>
      <t>工程造价分析</t>
    </r>
  </si>
  <si>
    <r>
      <rPr>
        <sz val="11"/>
        <color theme="1"/>
        <rFont val="宋体"/>
        <family val="3"/>
        <charset val="134"/>
      </rPr>
      <t>土石方工程</t>
    </r>
  </si>
  <si>
    <r>
      <rPr>
        <sz val="11"/>
        <color theme="1"/>
        <rFont val="宋体"/>
        <family val="3"/>
        <charset val="134"/>
      </rPr>
      <t>维护及支护工程</t>
    </r>
  </si>
  <si>
    <r>
      <rPr>
        <sz val="11"/>
        <color theme="1"/>
        <rFont val="宋体"/>
        <family val="3"/>
        <charset val="134"/>
      </rPr>
      <t>桩基础工程</t>
    </r>
  </si>
  <si>
    <r>
      <rPr>
        <sz val="11"/>
        <color theme="1"/>
        <rFont val="宋体"/>
        <family val="3"/>
        <charset val="134"/>
      </rPr>
      <t>砌筑工程</t>
    </r>
  </si>
  <si>
    <r>
      <rPr>
        <sz val="11"/>
        <color theme="1"/>
        <rFont val="宋体"/>
        <family val="3"/>
        <charset val="134"/>
      </rPr>
      <t>混凝土及钢筋混凝土工程</t>
    </r>
  </si>
  <si>
    <r>
      <rPr>
        <sz val="11"/>
        <color theme="1"/>
        <rFont val="宋体"/>
        <family val="3"/>
        <charset val="134"/>
      </rPr>
      <t>金属结构工程</t>
    </r>
  </si>
  <si>
    <r>
      <rPr>
        <sz val="11"/>
        <color theme="1"/>
        <rFont val="宋体"/>
        <family val="3"/>
        <charset val="134"/>
      </rPr>
      <t>门窗工程</t>
    </r>
  </si>
  <si>
    <r>
      <rPr>
        <sz val="11"/>
        <color theme="1"/>
        <rFont val="宋体"/>
        <family val="3"/>
        <charset val="134"/>
      </rPr>
      <t>屋面及防水工程</t>
    </r>
  </si>
  <si>
    <r>
      <rPr>
        <sz val="11"/>
        <color theme="1"/>
        <rFont val="宋体"/>
        <family val="3"/>
        <charset val="134"/>
      </rPr>
      <t>保温、隔热、防腐工程</t>
    </r>
  </si>
  <si>
    <r>
      <rPr>
        <sz val="11"/>
        <color theme="1"/>
        <rFont val="宋体"/>
        <family val="3"/>
        <charset val="134"/>
      </rPr>
      <t>楼地面装饰工程</t>
    </r>
  </si>
  <si>
    <r>
      <rPr>
        <sz val="11"/>
        <color theme="1"/>
        <rFont val="宋体"/>
        <family val="3"/>
        <charset val="134"/>
      </rPr>
      <t>墙、柱面装饰与隔断、幕墙工程</t>
    </r>
  </si>
  <si>
    <r>
      <rPr>
        <sz val="11"/>
        <color theme="1"/>
        <rFont val="宋体"/>
        <family val="3"/>
        <charset val="134"/>
      </rPr>
      <t>油漆、涂料、裱糊工程</t>
    </r>
  </si>
  <si>
    <r>
      <rPr>
        <sz val="11"/>
        <color theme="1"/>
        <rFont val="宋体"/>
        <family val="3"/>
        <charset val="134"/>
      </rPr>
      <t>其他装饰工程</t>
    </r>
  </si>
  <si>
    <r>
      <rPr>
        <sz val="11"/>
        <color theme="1"/>
        <rFont val="宋体"/>
        <family val="3"/>
        <charset val="134"/>
      </rPr>
      <t>电气工程</t>
    </r>
  </si>
  <si>
    <r>
      <rPr>
        <sz val="11"/>
        <color theme="1"/>
        <rFont val="宋体"/>
        <family val="3"/>
        <charset val="134"/>
      </rPr>
      <t>给排水工程</t>
    </r>
  </si>
  <si>
    <r>
      <rPr>
        <sz val="11"/>
        <color theme="1"/>
        <rFont val="宋体"/>
        <family val="3"/>
        <charset val="134"/>
      </rPr>
      <t>消防工程</t>
    </r>
  </si>
  <si>
    <r>
      <rPr>
        <sz val="11"/>
        <color theme="1"/>
        <rFont val="宋体"/>
        <family val="3"/>
        <charset val="134"/>
      </rPr>
      <t>通风、防排烟工程</t>
    </r>
  </si>
  <si>
    <r>
      <rPr>
        <sz val="11"/>
        <color theme="1"/>
        <rFont val="宋体"/>
        <family val="3"/>
        <charset val="134"/>
      </rPr>
      <t>电梯工程</t>
    </r>
  </si>
  <si>
    <r>
      <rPr>
        <sz val="11"/>
        <color theme="1"/>
        <rFont val="宋体"/>
        <family val="3"/>
        <charset val="134"/>
      </rPr>
      <t>变配电工程</t>
    </r>
  </si>
  <si>
    <r>
      <rPr>
        <sz val="11"/>
        <color theme="1"/>
        <rFont val="宋体"/>
        <family val="3"/>
        <charset val="134"/>
      </rPr>
      <t>首层大堂</t>
    </r>
  </si>
  <si>
    <r>
      <rPr>
        <sz val="11"/>
        <color theme="1"/>
        <rFont val="宋体"/>
        <family val="3"/>
        <charset val="134"/>
      </rPr>
      <t>标准层电梯间</t>
    </r>
  </si>
  <si>
    <r>
      <t>A</t>
    </r>
    <r>
      <rPr>
        <sz val="11"/>
        <color theme="1"/>
        <rFont val="宋体"/>
        <family val="3"/>
        <charset val="134"/>
      </rPr>
      <t>户型</t>
    </r>
  </si>
  <si>
    <r>
      <t>B</t>
    </r>
    <r>
      <rPr>
        <sz val="11"/>
        <color theme="1"/>
        <rFont val="宋体"/>
        <family val="3"/>
        <charset val="134"/>
      </rPr>
      <t>户型</t>
    </r>
  </si>
  <si>
    <r>
      <t>C</t>
    </r>
    <r>
      <rPr>
        <sz val="11"/>
        <color theme="1"/>
        <rFont val="宋体"/>
        <family val="3"/>
        <charset val="134"/>
      </rPr>
      <t>户型</t>
    </r>
  </si>
  <si>
    <r>
      <t>D</t>
    </r>
    <r>
      <rPr>
        <sz val="11"/>
        <color theme="1"/>
        <rFont val="宋体"/>
        <family val="3"/>
        <charset val="134"/>
      </rPr>
      <t>户型</t>
    </r>
  </si>
  <si>
    <r>
      <rPr>
        <sz val="11"/>
        <color theme="1"/>
        <rFont val="宋体"/>
        <family val="3"/>
        <charset val="134"/>
      </rPr>
      <t>住宅大堂</t>
    </r>
  </si>
  <si>
    <r>
      <rPr>
        <sz val="11"/>
        <color theme="1"/>
        <rFont val="宋体"/>
        <family val="3"/>
        <charset val="134"/>
      </rPr>
      <t>电梯厅</t>
    </r>
  </si>
  <si>
    <r>
      <rPr>
        <sz val="11"/>
        <color theme="1"/>
        <rFont val="宋体"/>
        <family val="3"/>
        <charset val="134"/>
      </rPr>
      <t>绿色施工安全防护措施费</t>
    </r>
  </si>
  <si>
    <r>
      <rPr>
        <sz val="11"/>
        <color theme="1"/>
        <rFont val="宋体"/>
        <family val="3"/>
        <charset val="134"/>
      </rPr>
      <t>其他措施项目费</t>
    </r>
  </si>
  <si>
    <r>
      <rPr>
        <sz val="11"/>
        <color theme="1"/>
        <rFont val="宋体"/>
        <family val="3"/>
        <charset val="134"/>
      </rPr>
      <t>造价指标分析表编写人员：（签字）</t>
    </r>
  </si>
  <si>
    <r>
      <rPr>
        <sz val="11"/>
        <color theme="1"/>
        <rFont val="宋体"/>
        <family val="3"/>
        <charset val="134"/>
      </rPr>
      <t>注：单位消耗量是根据每个项目总建筑面积或长度确定，根据项目实际进行填写</t>
    </r>
  </si>
  <si>
    <r>
      <t>m</t>
    </r>
    <r>
      <rPr>
        <vertAlign val="superscript"/>
        <sz val="12"/>
        <color theme="1"/>
        <rFont val="Times New Roman"/>
        <family val="1"/>
      </rPr>
      <t>3</t>
    </r>
  </si>
  <si>
    <r>
      <rPr>
        <sz val="12"/>
        <color theme="1"/>
        <rFont val="宋体"/>
        <family val="3"/>
        <charset val="134"/>
      </rPr>
      <t>序号</t>
    </r>
  </si>
  <si>
    <r>
      <rPr>
        <sz val="12"/>
        <color theme="1"/>
        <rFont val="宋体"/>
        <family val="3"/>
        <charset val="134"/>
      </rPr>
      <t>材料名称</t>
    </r>
  </si>
  <si>
    <r>
      <rPr>
        <sz val="12"/>
        <color theme="1"/>
        <rFont val="宋体"/>
        <family val="3"/>
        <charset val="134"/>
      </rPr>
      <t>单位</t>
    </r>
  </si>
  <si>
    <r>
      <rPr>
        <sz val="12"/>
        <color theme="1"/>
        <rFont val="宋体"/>
        <family val="3"/>
        <charset val="134"/>
      </rPr>
      <t>总数量</t>
    </r>
  </si>
  <si>
    <r>
      <rPr>
        <sz val="12"/>
        <color theme="1"/>
        <rFont val="宋体"/>
        <family val="3"/>
        <charset val="134"/>
      </rPr>
      <t>单位消耗量
（</t>
    </r>
    <r>
      <rPr>
        <sz val="12"/>
        <color theme="1"/>
        <rFont val="Times New Roman"/>
        <family val="1"/>
      </rPr>
      <t xml:space="preserve"> X/m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)</t>
    </r>
  </si>
  <si>
    <r>
      <rPr>
        <sz val="12"/>
        <color theme="1"/>
        <rFont val="宋体"/>
        <family val="3"/>
        <charset val="134"/>
      </rPr>
      <t>钢筋</t>
    </r>
  </si>
  <si>
    <r>
      <rPr>
        <sz val="12"/>
        <color theme="1"/>
        <rFont val="宋体"/>
        <family val="3"/>
        <charset val="134"/>
      </rPr>
      <t>混凝土</t>
    </r>
  </si>
  <si>
    <r>
      <rPr>
        <sz val="12"/>
        <color theme="1"/>
        <rFont val="宋体"/>
        <family val="3"/>
        <charset val="134"/>
      </rPr>
      <t>水泥</t>
    </r>
  </si>
  <si>
    <r>
      <rPr>
        <sz val="12"/>
        <color theme="1"/>
        <rFont val="宋体"/>
        <family val="3"/>
        <charset val="134"/>
      </rPr>
      <t>生石灰</t>
    </r>
  </si>
  <si>
    <r>
      <rPr>
        <sz val="12"/>
        <color theme="1"/>
        <rFont val="宋体"/>
        <family val="3"/>
        <charset val="134"/>
      </rPr>
      <t>蒸压加气砼砌块</t>
    </r>
  </si>
  <si>
    <r>
      <rPr>
        <sz val="12"/>
        <color theme="1"/>
        <rFont val="宋体"/>
        <family val="3"/>
        <charset val="134"/>
      </rPr>
      <t>碎石</t>
    </r>
  </si>
  <si>
    <r>
      <rPr>
        <sz val="12"/>
        <color theme="1"/>
        <rFont val="宋体"/>
        <family val="3"/>
        <charset val="134"/>
      </rPr>
      <t>砂</t>
    </r>
  </si>
  <si>
    <r>
      <rPr>
        <sz val="12"/>
        <color theme="1"/>
        <rFont val="宋体"/>
        <family val="3"/>
        <charset val="134"/>
      </rPr>
      <t>防水涂料</t>
    </r>
  </si>
  <si>
    <r>
      <rPr>
        <sz val="12"/>
        <color theme="1"/>
        <rFont val="宋体"/>
        <family val="3"/>
        <charset val="134"/>
      </rPr>
      <t>墙面瓷片</t>
    </r>
    <r>
      <rPr>
        <sz val="12"/>
        <color theme="1"/>
        <rFont val="Times New Roman"/>
        <family val="1"/>
      </rPr>
      <t>300×600</t>
    </r>
  </si>
  <si>
    <r>
      <rPr>
        <sz val="12"/>
        <color theme="1"/>
        <rFont val="宋体"/>
        <family val="3"/>
        <charset val="134"/>
      </rPr>
      <t>抛光砖</t>
    </r>
    <r>
      <rPr>
        <sz val="12"/>
        <color theme="1"/>
        <rFont val="Times New Roman"/>
        <family val="1"/>
      </rPr>
      <t>400×800</t>
    </r>
  </si>
  <si>
    <r>
      <rPr>
        <sz val="12"/>
        <color theme="1"/>
        <rFont val="宋体"/>
        <family val="3"/>
        <charset val="134"/>
      </rPr>
      <t>防滑砖</t>
    </r>
    <r>
      <rPr>
        <sz val="12"/>
        <color theme="1"/>
        <rFont val="Times New Roman"/>
        <family val="1"/>
      </rPr>
      <t>300×300</t>
    </r>
  </si>
  <si>
    <r>
      <rPr>
        <sz val="12"/>
        <color theme="1"/>
        <rFont val="宋体"/>
        <family val="3"/>
        <charset val="134"/>
      </rPr>
      <t>仿石釉面砖</t>
    </r>
    <r>
      <rPr>
        <sz val="12"/>
        <color theme="1"/>
        <rFont val="Times New Roman"/>
        <family val="1"/>
      </rPr>
      <t>800×800</t>
    </r>
  </si>
  <si>
    <r>
      <rPr>
        <sz val="12"/>
        <color theme="1"/>
        <rFont val="宋体"/>
        <family val="3"/>
        <charset val="134"/>
      </rPr>
      <t>瓷砖</t>
    </r>
    <r>
      <rPr>
        <sz val="12"/>
        <color theme="1"/>
        <rFont val="Times New Roman"/>
        <family val="1"/>
      </rPr>
      <t>800×800</t>
    </r>
  </si>
  <si>
    <r>
      <rPr>
        <sz val="12"/>
        <color theme="1"/>
        <rFont val="宋体"/>
        <family val="3"/>
        <charset val="134"/>
      </rPr>
      <t>强化木地板</t>
    </r>
  </si>
  <si>
    <r>
      <rPr>
        <sz val="12"/>
        <color theme="1"/>
        <rFont val="宋体"/>
        <family val="3"/>
        <charset val="134"/>
      </rPr>
      <t>石膏板</t>
    </r>
  </si>
  <si>
    <r>
      <rPr>
        <sz val="12"/>
        <color theme="1"/>
        <rFont val="宋体"/>
        <family val="3"/>
        <charset val="134"/>
      </rPr>
      <t>铝扣板</t>
    </r>
  </si>
  <si>
    <r>
      <rPr>
        <sz val="12"/>
        <color theme="1"/>
        <rFont val="宋体"/>
        <family val="3"/>
        <charset val="134"/>
      </rPr>
      <t>釉面砖</t>
    </r>
    <r>
      <rPr>
        <sz val="12"/>
        <color theme="1"/>
        <rFont val="Times New Roman"/>
        <family val="1"/>
      </rPr>
      <t>100×600</t>
    </r>
  </si>
  <si>
    <r>
      <rPr>
        <sz val="12"/>
        <color theme="1"/>
        <rFont val="宋体"/>
        <family val="3"/>
        <charset val="134"/>
      </rPr>
      <t>瓷质梯级砖</t>
    </r>
    <r>
      <rPr>
        <sz val="12"/>
        <color theme="1"/>
        <rFont val="Times New Roman"/>
        <family val="1"/>
      </rPr>
      <t>300×280</t>
    </r>
  </si>
  <si>
    <r>
      <rPr>
        <sz val="12"/>
        <color theme="1"/>
        <rFont val="宋体"/>
        <family val="3"/>
        <charset val="134"/>
      </rPr>
      <t>瓷质梯级砖</t>
    </r>
    <r>
      <rPr>
        <sz val="12"/>
        <color theme="1"/>
        <rFont val="Times New Roman"/>
        <family val="1"/>
      </rPr>
      <t>300×150</t>
    </r>
  </si>
  <si>
    <r>
      <rPr>
        <sz val="12"/>
        <color theme="1"/>
        <rFont val="宋体"/>
        <family val="3"/>
        <charset val="134"/>
      </rPr>
      <t>金刚砂</t>
    </r>
  </si>
  <si>
    <r>
      <rPr>
        <sz val="12"/>
        <color theme="1"/>
        <rFont val="宋体"/>
        <family val="3"/>
        <charset val="134"/>
      </rPr>
      <t>防水胶合板模板</t>
    </r>
  </si>
  <si>
    <r>
      <rPr>
        <sz val="12"/>
        <color theme="1"/>
        <rFont val="宋体"/>
        <family val="3"/>
        <charset val="134"/>
      </rPr>
      <t>改性沥青耐根穿刺防水卷材</t>
    </r>
    <r>
      <rPr>
        <sz val="12"/>
        <color theme="1"/>
        <rFont val="Times New Roman"/>
        <family val="1"/>
      </rPr>
      <t>4mm</t>
    </r>
    <r>
      <rPr>
        <sz val="12"/>
        <color theme="1"/>
        <rFont val="宋体"/>
        <family val="3"/>
        <charset val="134"/>
      </rPr>
      <t>厚</t>
    </r>
  </si>
  <si>
    <r>
      <rPr>
        <sz val="12"/>
        <color theme="1"/>
        <rFont val="宋体"/>
        <family val="3"/>
        <charset val="134"/>
      </rPr>
      <t>三元乙丙橡胶卷材</t>
    </r>
  </si>
  <si>
    <r>
      <rPr>
        <sz val="12"/>
        <color theme="1"/>
        <rFont val="宋体"/>
        <family val="3"/>
        <charset val="134"/>
      </rPr>
      <t>镀锌低碳钢丝</t>
    </r>
  </si>
  <si>
    <r>
      <rPr>
        <sz val="12"/>
        <color theme="1"/>
        <rFont val="宋体"/>
        <family val="3"/>
        <charset val="134"/>
      </rPr>
      <t>钢板</t>
    </r>
    <r>
      <rPr>
        <sz val="12"/>
        <color theme="1"/>
        <rFont val="Times New Roman"/>
        <family val="1"/>
      </rPr>
      <t>3.5~4.0</t>
    </r>
  </si>
  <si>
    <r>
      <rPr>
        <sz val="12"/>
        <color theme="1"/>
        <rFont val="宋体"/>
        <family val="3"/>
        <charset val="134"/>
      </rPr>
      <t>钢丝网</t>
    </r>
  </si>
  <si>
    <r>
      <rPr>
        <sz val="12"/>
        <color theme="1"/>
        <rFont val="宋体"/>
        <family val="3"/>
        <charset val="134"/>
      </rPr>
      <t>土工布</t>
    </r>
  </si>
  <si>
    <r>
      <rPr>
        <sz val="12"/>
        <color theme="1"/>
        <rFont val="宋体"/>
        <family val="3"/>
        <charset val="134"/>
      </rPr>
      <t>耐碱玻璃纤维网格布</t>
    </r>
  </si>
  <si>
    <r>
      <rPr>
        <sz val="12"/>
        <color theme="1"/>
        <rFont val="宋体"/>
        <family val="3"/>
        <charset val="134"/>
      </rPr>
      <t>环氧漆</t>
    </r>
  </si>
  <si>
    <r>
      <rPr>
        <sz val="12"/>
        <color theme="1"/>
        <rFont val="宋体"/>
        <family val="3"/>
        <charset val="134"/>
      </rPr>
      <t>乳胶漆</t>
    </r>
  </si>
  <si>
    <r>
      <rPr>
        <sz val="12"/>
        <color theme="1"/>
        <rFont val="宋体"/>
        <family val="3"/>
        <charset val="134"/>
      </rPr>
      <t>腻子粉</t>
    </r>
  </si>
  <si>
    <r>
      <rPr>
        <sz val="12"/>
        <color theme="1"/>
        <rFont val="宋体"/>
        <family val="3"/>
        <charset val="134"/>
      </rPr>
      <t>聚合物乳液</t>
    </r>
  </si>
  <si>
    <r>
      <rPr>
        <sz val="12"/>
        <color theme="1"/>
        <rFont val="宋体"/>
        <family val="3"/>
        <charset val="134"/>
      </rPr>
      <t>钢支撑</t>
    </r>
  </si>
  <si>
    <r>
      <rPr>
        <sz val="12"/>
        <color theme="1"/>
        <rFont val="宋体"/>
        <family val="3"/>
        <charset val="134"/>
      </rPr>
      <t>门</t>
    </r>
  </si>
  <si>
    <r>
      <rPr>
        <sz val="12"/>
        <color theme="1"/>
        <rFont val="宋体"/>
        <family val="3"/>
        <charset val="134"/>
      </rPr>
      <t>窗</t>
    </r>
  </si>
  <si>
    <r>
      <rPr>
        <sz val="12"/>
        <color theme="1"/>
        <rFont val="宋体"/>
        <family val="3"/>
        <charset val="134"/>
      </rPr>
      <t>预拌水泥砂浆</t>
    </r>
  </si>
  <si>
    <r>
      <rPr>
        <sz val="12"/>
        <color theme="1"/>
        <rFont val="宋体"/>
        <family val="3"/>
        <charset val="134"/>
      </rPr>
      <t>釉面砖</t>
    </r>
    <r>
      <rPr>
        <sz val="12"/>
        <color theme="1"/>
        <rFont val="Times New Roman"/>
        <family val="1"/>
      </rPr>
      <t>300×300</t>
    </r>
  </si>
  <si>
    <r>
      <rPr>
        <sz val="12"/>
        <color theme="1"/>
        <rFont val="宋体"/>
        <family val="3"/>
        <charset val="134"/>
      </rPr>
      <t>涂料</t>
    </r>
  </si>
  <si>
    <r>
      <rPr>
        <sz val="12"/>
        <color theme="1"/>
        <rFont val="宋体"/>
        <family val="3"/>
        <charset val="134"/>
      </rPr>
      <t>挤塑聚苯板</t>
    </r>
  </si>
  <si>
    <r>
      <rPr>
        <sz val="12"/>
        <color theme="1"/>
        <rFont val="宋体"/>
        <family val="3"/>
        <charset val="134"/>
      </rPr>
      <t>镀锌钢管</t>
    </r>
  </si>
  <si>
    <r>
      <rPr>
        <sz val="12"/>
        <color theme="1"/>
        <rFont val="宋体"/>
        <family val="3"/>
        <charset val="134"/>
      </rPr>
      <t>镀锌薄钢板</t>
    </r>
  </si>
  <si>
    <r>
      <t>PP-R</t>
    </r>
    <r>
      <rPr>
        <sz val="12"/>
        <color theme="1"/>
        <rFont val="宋体"/>
        <family val="3"/>
        <charset val="134"/>
      </rPr>
      <t>给水塑料管</t>
    </r>
  </si>
  <si>
    <r>
      <t>PVC-U</t>
    </r>
    <r>
      <rPr>
        <sz val="12"/>
        <color theme="1"/>
        <rFont val="宋体"/>
        <family val="3"/>
        <charset val="134"/>
      </rPr>
      <t>排水塑料管</t>
    </r>
  </si>
  <si>
    <r>
      <rPr>
        <sz val="12"/>
        <color theme="1"/>
        <rFont val="宋体"/>
        <family val="3"/>
        <charset val="134"/>
      </rPr>
      <t>绝缘电线</t>
    </r>
  </si>
  <si>
    <r>
      <rPr>
        <sz val="12"/>
        <color theme="1"/>
        <rFont val="宋体"/>
        <family val="3"/>
        <charset val="134"/>
      </rPr>
      <t>电力电缆</t>
    </r>
  </si>
  <si>
    <r>
      <rPr>
        <sz val="12"/>
        <color theme="1"/>
        <rFont val="宋体"/>
        <family val="3"/>
        <charset val="134"/>
      </rPr>
      <t>镀锌电线管</t>
    </r>
  </si>
  <si>
    <r>
      <rPr>
        <sz val="12"/>
        <color theme="1"/>
        <rFont val="宋体"/>
        <family val="3"/>
        <charset val="134"/>
      </rPr>
      <t>刚性阻燃管</t>
    </r>
  </si>
  <si>
    <r>
      <rPr>
        <sz val="12"/>
        <color theme="1"/>
        <rFont val="宋体"/>
        <family val="3"/>
        <charset val="134"/>
      </rPr>
      <t>线槽、桥架</t>
    </r>
  </si>
  <si>
    <r>
      <rPr>
        <sz val="12"/>
        <color theme="1"/>
        <rFont val="宋体"/>
        <family val="3"/>
        <charset val="134"/>
      </rPr>
      <t>钢丝网骨架塑料复合管</t>
    </r>
  </si>
  <si>
    <r>
      <t>HDPE</t>
    </r>
    <r>
      <rPr>
        <sz val="12"/>
        <color theme="1"/>
        <rFont val="宋体"/>
        <family val="3"/>
        <charset val="134"/>
      </rPr>
      <t>塑钢缠绕排水管</t>
    </r>
  </si>
  <si>
    <r>
      <rPr>
        <sz val="12"/>
        <color rgb="FF333333"/>
        <rFont val="宋体"/>
        <family val="3"/>
        <charset val="134"/>
      </rPr>
      <t>工程概况特征：结构类型：（钢筋混凝土结构）；建筑面积：（</t>
    </r>
    <r>
      <rPr>
        <sz val="12"/>
        <color rgb="FF333333"/>
        <rFont val="Times New Roman"/>
        <family val="1"/>
      </rPr>
      <t xml:space="preserve"> 55292.25 </t>
    </r>
    <r>
      <rPr>
        <sz val="12"/>
        <color rgb="FF333333"/>
        <rFont val="宋体"/>
        <family val="3"/>
        <charset val="134"/>
      </rPr>
      <t>）㎡，其中，</t>
    </r>
    <r>
      <rPr>
        <sz val="12"/>
        <color rgb="FF333333"/>
        <rFont val="Times New Roman"/>
        <family val="1"/>
      </rPr>
      <t>±0.00</t>
    </r>
    <r>
      <rPr>
        <sz val="12"/>
        <color rgb="FF333333"/>
        <rFont val="宋体"/>
        <family val="3"/>
        <charset val="134"/>
      </rPr>
      <t>以下面积（</t>
    </r>
    <r>
      <rPr>
        <sz val="12"/>
        <color rgb="FF333333"/>
        <rFont val="Times New Roman"/>
        <family val="1"/>
      </rPr>
      <t>11105.41</t>
    </r>
    <r>
      <rPr>
        <sz val="12"/>
        <color rgb="FF333333"/>
        <rFont val="宋体"/>
        <family val="3"/>
        <charset val="134"/>
      </rPr>
      <t>）㎡，</t>
    </r>
    <r>
      <rPr>
        <sz val="12"/>
        <color rgb="FF333333"/>
        <rFont val="Times New Roman"/>
        <family val="1"/>
      </rPr>
      <t>±0.00</t>
    </r>
    <r>
      <rPr>
        <sz val="12"/>
        <color rgb="FF333333"/>
        <rFont val="宋体"/>
        <family val="3"/>
        <charset val="134"/>
      </rPr>
      <t>以上面积（</t>
    </r>
    <r>
      <rPr>
        <sz val="12"/>
        <color rgb="FF333333"/>
        <rFont val="Times New Roman"/>
        <family val="1"/>
      </rPr>
      <t>44186.84</t>
    </r>
    <r>
      <rPr>
        <sz val="12"/>
        <color rgb="FF333333"/>
        <rFont val="宋体"/>
        <family val="3"/>
        <charset val="134"/>
      </rPr>
      <t>）㎡；弃土运距（综合考虑）</t>
    </r>
    <r>
      <rPr>
        <sz val="12"/>
        <color rgb="FF333333"/>
        <rFont val="Times New Roman"/>
        <family val="1"/>
      </rPr>
      <t>km</t>
    </r>
    <r>
      <rPr>
        <sz val="12"/>
        <color rgb="FF333333"/>
        <rFont val="宋体"/>
        <family val="3"/>
        <charset val="134"/>
      </rPr>
      <t>；建筑物层数：（</t>
    </r>
    <r>
      <rPr>
        <sz val="12"/>
        <color rgb="FF333333"/>
        <rFont val="Times New Roman"/>
        <family val="1"/>
      </rPr>
      <t>36</t>
    </r>
    <r>
      <rPr>
        <sz val="12"/>
        <color rgb="FF333333"/>
        <rFont val="宋体"/>
        <family val="3"/>
        <charset val="134"/>
      </rPr>
      <t>层），其中地下（</t>
    </r>
    <r>
      <rPr>
        <sz val="12"/>
        <color rgb="FF333333"/>
        <rFont val="Times New Roman"/>
        <family val="1"/>
      </rPr>
      <t>2</t>
    </r>
    <r>
      <rPr>
        <sz val="12"/>
        <color rgb="FF333333"/>
        <rFont val="宋体"/>
        <family val="3"/>
        <charset val="134"/>
      </rPr>
      <t>）层，地上（</t>
    </r>
    <r>
      <rPr>
        <sz val="12"/>
        <color rgb="FF333333"/>
        <rFont val="Times New Roman"/>
        <family val="1"/>
      </rPr>
      <t>34</t>
    </r>
    <r>
      <rPr>
        <sz val="12"/>
        <color rgb="FF333333"/>
        <rFont val="宋体"/>
        <family val="3"/>
        <charset val="134"/>
      </rPr>
      <t>）层；工程类型：（房屋建筑工程）；基础材料：（筏板基础）；幕墙材料名称及规格：（无幕墙）；砖砌体名称：（蒸压加气砼砌块）；外墙厚度：（</t>
    </r>
    <r>
      <rPr>
        <sz val="12"/>
        <color rgb="FF333333"/>
        <rFont val="Times New Roman"/>
        <family val="1"/>
      </rPr>
      <t>200mm</t>
    </r>
    <r>
      <rPr>
        <sz val="12"/>
        <color rgb="FF333333"/>
        <rFont val="宋体"/>
        <family val="3"/>
        <charset val="134"/>
      </rPr>
      <t>）；内墙厚度：（</t>
    </r>
    <r>
      <rPr>
        <sz val="12"/>
        <color rgb="FF333333"/>
        <rFont val="Times New Roman"/>
        <family val="1"/>
      </rPr>
      <t>100mm</t>
    </r>
    <r>
      <rPr>
        <sz val="12"/>
        <color rgb="FF333333"/>
        <rFont val="宋体"/>
        <family val="3"/>
        <charset val="134"/>
      </rPr>
      <t>）；外墙材料名称及规格：（外墙涂料）；墙面材料名称及规格（住宅室内腻子墙面等）；天棚材料名称及规格（住宅室内腻子天棚等）；地面材料名称及规格（</t>
    </r>
    <r>
      <rPr>
        <sz val="12"/>
        <color rgb="FF333333"/>
        <rFont val="Times New Roman"/>
        <family val="1"/>
      </rPr>
      <t>800X800</t>
    </r>
    <r>
      <rPr>
        <sz val="12"/>
        <color rgb="FF333333"/>
        <rFont val="宋体"/>
        <family val="3"/>
        <charset val="134"/>
      </rPr>
      <t>抛光砖、</t>
    </r>
    <r>
      <rPr>
        <sz val="12"/>
        <color rgb="FF333333"/>
        <rFont val="Times New Roman"/>
        <family val="1"/>
      </rPr>
      <t>300X300</t>
    </r>
    <r>
      <rPr>
        <sz val="12"/>
        <color rgb="FF333333"/>
        <rFont val="宋体"/>
        <family val="3"/>
        <charset val="134"/>
      </rPr>
      <t>防滑地砖等）；屋面材料名称及规格（</t>
    </r>
    <r>
      <rPr>
        <sz val="12"/>
        <color rgb="FF333333"/>
        <rFont val="Times New Roman"/>
        <family val="1"/>
      </rPr>
      <t>1.5</t>
    </r>
    <r>
      <rPr>
        <sz val="12"/>
        <color rgb="FF333333"/>
        <rFont val="宋体"/>
        <family val="3"/>
        <charset val="134"/>
      </rPr>
      <t>厚聚氨酯涂膜防水层、</t>
    </r>
    <r>
      <rPr>
        <sz val="12"/>
        <color rgb="FF333333"/>
        <rFont val="Times New Roman"/>
        <family val="1"/>
      </rPr>
      <t>3mm</t>
    </r>
    <r>
      <rPr>
        <sz val="12"/>
        <color rgb="FF333333"/>
        <rFont val="宋体"/>
        <family val="3"/>
        <charset val="134"/>
      </rPr>
      <t>厚自粘聚合物改性沥青长纤聚酯胎防水卷材、</t>
    </r>
    <r>
      <rPr>
        <sz val="12"/>
        <color rgb="FF333333"/>
        <rFont val="Times New Roman"/>
        <family val="1"/>
      </rPr>
      <t>60</t>
    </r>
    <r>
      <rPr>
        <sz val="12"/>
        <color rgb="FF333333"/>
        <rFont val="宋体"/>
        <family val="3"/>
        <charset val="134"/>
      </rPr>
      <t>厚挤塑型聚苯乙烯保温隔热板等）；其他情况说明（不锈钢护窗栏杆、阳台镀锌栏杆、铝合金门窗工程）。</t>
    </r>
    <phoneticPr fontId="14" type="noConversion"/>
  </si>
  <si>
    <r>
      <t>备注：本项目委托单位委托给造价单位时间为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日，造价公司完成成果文件时间为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24</t>
    </r>
    <r>
      <rPr>
        <sz val="11"/>
        <color theme="1"/>
        <rFont val="宋体"/>
        <family val="3"/>
        <charset val="134"/>
      </rPr>
      <t>日</t>
    </r>
    <phoneticPr fontId="14" type="noConversion"/>
  </si>
  <si>
    <t>造价指标分析表编写人员：（签字）
备注：本项目委托单位委托给造价单位时间为2019年4月2日，造价公司完成成果文件时间为2019年6月24日</t>
    <phoneticPr fontId="14" type="noConversion"/>
  </si>
  <si>
    <r>
      <rPr>
        <sz val="11"/>
        <color theme="1"/>
        <rFont val="宋体"/>
        <family val="3"/>
        <charset val="134"/>
      </rPr>
      <t>填表单位：某造价公司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24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imes New Roman"/>
        <family val="1"/>
      </rPr>
      <t xml:space="preserve"> </t>
    </r>
    <phoneticPr fontId="14" type="noConversion"/>
  </si>
  <si>
    <r>
      <rPr>
        <sz val="11"/>
        <color theme="1"/>
        <rFont val="宋体"/>
        <family val="3"/>
        <charset val="134"/>
      </rPr>
      <t>填表单位：某造价公司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24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imes New Roman"/>
        <family val="1"/>
      </rPr>
      <t xml:space="preserve">                                                       </t>
    </r>
    <r>
      <rPr>
        <sz val="11"/>
        <color theme="1"/>
        <rFont val="宋体"/>
        <family val="3"/>
        <charset val="134"/>
      </rPr>
      <t/>
    </r>
    <phoneticPr fontId="14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</si>
  <si>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1                                                             </t>
    </r>
    <r>
      <rPr>
        <b/>
        <sz val="18"/>
        <color theme="1"/>
        <rFont val="Times New Roman"/>
        <family val="1"/>
      </rPr>
      <t xml:space="preserve">  </t>
    </r>
    <r>
      <rPr>
        <b/>
        <sz val="18"/>
        <color theme="1"/>
        <rFont val="宋体"/>
        <family val="3"/>
        <charset val="134"/>
      </rPr>
      <t>工程造价指标分析表</t>
    </r>
    <phoneticPr fontId="14" type="noConversion"/>
  </si>
  <si>
    <r>
      <rPr>
        <b/>
        <sz val="11"/>
        <color theme="1"/>
        <rFont val="宋体"/>
        <family val="3"/>
        <charset val="134"/>
      </rPr>
      <t xml:space="preserve">表2                  </t>
    </r>
    <r>
      <rPr>
        <b/>
        <sz val="18"/>
        <color theme="1"/>
        <rFont val="宋体"/>
        <family val="3"/>
        <charset val="134"/>
      </rPr>
      <t xml:space="preserve">     主要材料耗用量</t>
    </r>
    <phoneticPr fontId="14" type="noConversion"/>
  </si>
  <si>
    <t>附件1：实例1樟木头某小区工程建设工程造价指标分析表（含地下室、精装修、商铺、室外工程）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</si>
</sst>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.0000_ "/>
    <numFmt numFmtId="179" formatCode="0.000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333333"/>
      <name val="宋体"/>
      <charset val="134"/>
    </font>
    <font>
      <sz val="12"/>
      <color rgb="FF333333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333333"/>
      <name val="宋体"/>
      <charset val="134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rgb="FF333333"/>
      <name val="宋体"/>
      <family val="3"/>
      <charset val="134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Times New Roman"/>
      <family val="1"/>
    </font>
    <font>
      <b/>
      <sz val="12"/>
      <color rgb="FF333333"/>
      <name val="Times New Roman"/>
      <family val="1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rgb="FF333333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7" fillId="0" borderId="1" xfId="0" applyFont="1" applyFill="1" applyBorder="1" applyAlignment="1">
      <alignment vertical="center" wrapText="1"/>
    </xf>
    <xf numFmtId="0" fontId="0" fillId="0" borderId="0" xfId="0" applyFill="1"/>
    <xf numFmtId="0" fontId="21" fillId="0" borderId="1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/>
    </xf>
    <xf numFmtId="0" fontId="18" fillId="0" borderId="0" xfId="0" applyFont="1"/>
    <xf numFmtId="10" fontId="0" fillId="0" borderId="0" xfId="0" applyNumberForma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177" fontId="27" fillId="0" borderId="1" xfId="0" applyNumberFormat="1" applyFont="1" applyBorder="1" applyAlignment="1">
      <alignment horizontal="center" vertical="center"/>
    </xf>
    <xf numFmtId="178" fontId="27" fillId="0" borderId="1" xfId="0" applyNumberFormat="1" applyFont="1" applyBorder="1" applyAlignment="1">
      <alignment horizontal="center" vertical="center" wrapText="1"/>
    </xf>
    <xf numFmtId="179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176" fontId="18" fillId="0" borderId="0" xfId="0" applyNumberFormat="1" applyFont="1" applyAlignment="1">
      <alignment horizontal="right"/>
    </xf>
    <xf numFmtId="10" fontId="18" fillId="0" borderId="0" xfId="0" applyNumberFormat="1" applyFont="1" applyAlignment="1">
      <alignment horizontal="right"/>
    </xf>
    <xf numFmtId="177" fontId="0" fillId="0" borderId="0" xfId="0" applyNumberFormat="1"/>
    <xf numFmtId="0" fontId="24" fillId="0" borderId="0" xfId="0" applyFont="1"/>
    <xf numFmtId="0" fontId="3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1" fillId="0" borderId="3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177" fontId="21" fillId="0" borderId="3" xfId="0" applyNumberFormat="1" applyFont="1" applyBorder="1" applyAlignment="1">
      <alignment horizontal="center" vertical="center" wrapText="1"/>
    </xf>
    <xf numFmtId="177" fontId="21" fillId="0" borderId="6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177" fontId="19" fillId="0" borderId="3" xfId="0" applyNumberFormat="1" applyFont="1" applyBorder="1" applyAlignment="1">
      <alignment horizontal="center" vertical="center" wrapText="1"/>
    </xf>
    <xf numFmtId="177" fontId="19" fillId="0" borderId="6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24" fillId="0" borderId="4" xfId="0" applyFont="1" applyBorder="1" applyAlignment="1">
      <alignment horizontal="left" wrapText="1"/>
    </xf>
    <xf numFmtId="0" fontId="16" fillId="0" borderId="0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77" fontId="21" fillId="0" borderId="3" xfId="0" applyNumberFormat="1" applyFont="1" applyFill="1" applyBorder="1" applyAlignment="1">
      <alignment horizontal="center" vertical="center" wrapText="1"/>
    </xf>
    <xf numFmtId="177" fontId="21" fillId="0" borderId="6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H2" sqref="H2"/>
    </sheetView>
  </sheetViews>
  <sheetFormatPr defaultColWidth="9" defaultRowHeight="13.5"/>
  <cols>
    <col min="7" max="7" width="16.875" customWidth="1"/>
  </cols>
  <sheetData>
    <row r="1" spans="1:7" ht="27" customHeight="1">
      <c r="A1" s="59" t="s">
        <v>0</v>
      </c>
      <c r="B1" s="59"/>
      <c r="C1" s="59"/>
      <c r="D1" s="59"/>
      <c r="E1" s="59"/>
      <c r="F1" s="59"/>
      <c r="G1" s="59"/>
    </row>
    <row r="2" spans="1:7" ht="69.75" customHeight="1">
      <c r="A2" s="60" t="s">
        <v>1</v>
      </c>
      <c r="B2" s="60"/>
      <c r="C2" s="60"/>
      <c r="D2" s="60"/>
      <c r="E2" s="60"/>
      <c r="F2" s="60"/>
      <c r="G2" s="60"/>
    </row>
    <row r="3" spans="1:7" ht="409.5" customHeight="1">
      <c r="A3" s="61" t="s">
        <v>2</v>
      </c>
      <c r="B3" s="62"/>
      <c r="C3" s="62"/>
      <c r="D3" s="62"/>
      <c r="E3" s="62"/>
      <c r="F3" s="62"/>
      <c r="G3" s="62"/>
    </row>
  </sheetData>
  <mergeCells count="3">
    <mergeCell ref="A1:G1"/>
    <mergeCell ref="A2:G2"/>
    <mergeCell ref="A3:G3"/>
  </mergeCells>
  <phoneticPr fontId="1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5"/>
  <sheetViews>
    <sheetView showGridLines="0" zoomScaleNormal="100" zoomScaleSheetLayoutView="100" workbookViewId="0">
      <selection activeCell="A3" sqref="A3:L3"/>
    </sheetView>
  </sheetViews>
  <sheetFormatPr defaultColWidth="9" defaultRowHeight="13.5"/>
  <cols>
    <col min="1" max="1" width="8.625" customWidth="1"/>
    <col min="2" max="2" width="9.75" customWidth="1"/>
    <col min="3" max="3" width="25.5" customWidth="1"/>
    <col min="4" max="8" width="15.75" hidden="1" customWidth="1"/>
    <col min="9" max="9" width="11.875" customWidth="1"/>
    <col min="10" max="10" width="7.25" customWidth="1"/>
    <col min="11" max="12" width="16.5" customWidth="1"/>
    <col min="13" max="13" width="12.625"/>
  </cols>
  <sheetData>
    <row r="1" spans="1:12" ht="24.75" customHeight="1">
      <c r="A1" s="58" t="s">
        <v>213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44.25" customHeight="1">
      <c r="A2" s="73" t="s">
        <v>211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7.100000000000001" customHeight="1">
      <c r="A3" s="74" t="s">
        <v>210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137.25" customHeight="1">
      <c r="A4" s="75" t="s">
        <v>206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7"/>
    </row>
    <row r="5" spans="1:12" ht="33" customHeight="1">
      <c r="A5" s="78" t="s">
        <v>118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29.25" customHeight="1">
      <c r="A6" s="33" t="s">
        <v>87</v>
      </c>
      <c r="B6" s="79" t="s">
        <v>88</v>
      </c>
      <c r="C6" s="79"/>
      <c r="D6" s="34" t="s">
        <v>89</v>
      </c>
      <c r="E6" s="34" t="s">
        <v>90</v>
      </c>
      <c r="F6" s="34" t="s">
        <v>91</v>
      </c>
      <c r="G6" s="34" t="s">
        <v>92</v>
      </c>
      <c r="H6" s="34" t="s">
        <v>93</v>
      </c>
      <c r="I6" s="80" t="s">
        <v>113</v>
      </c>
      <c r="J6" s="81"/>
      <c r="K6" s="33" t="s">
        <v>114</v>
      </c>
      <c r="L6" s="33" t="s">
        <v>115</v>
      </c>
    </row>
    <row r="7" spans="1:12" ht="21.95" hidden="1" customHeight="1">
      <c r="A7" s="80" t="s">
        <v>116</v>
      </c>
      <c r="B7" s="82"/>
      <c r="C7" s="81"/>
      <c r="D7" s="33">
        <v>11105.41</v>
      </c>
      <c r="E7" s="33">
        <v>21824.81</v>
      </c>
      <c r="F7" s="33">
        <v>21740.04</v>
      </c>
      <c r="G7" s="33">
        <v>621.99</v>
      </c>
      <c r="H7" s="33">
        <v>55292.25</v>
      </c>
      <c r="I7" s="83">
        <f>SUM(D7:G7)</f>
        <v>55292.25</v>
      </c>
      <c r="J7" s="84"/>
      <c r="K7" s="35"/>
      <c r="L7" s="33"/>
    </row>
    <row r="8" spans="1:12" s="32" customFormat="1" ht="20.100000000000001" customHeight="1">
      <c r="A8" s="36" t="s">
        <v>94</v>
      </c>
      <c r="B8" s="85" t="s">
        <v>95</v>
      </c>
      <c r="C8" s="86"/>
      <c r="D8" s="37">
        <f>SUM(D9:D21)</f>
        <v>28491556.089999996</v>
      </c>
      <c r="E8" s="37">
        <f>SUM(E9:E21)</f>
        <v>32349061.600000001</v>
      </c>
      <c r="F8" s="37">
        <f>SUM(F9:F21)</f>
        <v>32148787.220000003</v>
      </c>
      <c r="G8" s="37">
        <f>SUM(G9:G21)</f>
        <v>1578301.55</v>
      </c>
      <c r="H8" s="37">
        <f>SUM(H9:H21)</f>
        <v>0</v>
      </c>
      <c r="I8" s="83">
        <f>SUM(D8:H8)</f>
        <v>94567706.459999993</v>
      </c>
      <c r="J8" s="84"/>
      <c r="K8" s="37">
        <f>I8/55292.25</f>
        <v>1710.3248006727886</v>
      </c>
      <c r="L8" s="38">
        <f>I8/$I$51</f>
        <v>0.34763151228129563</v>
      </c>
    </row>
    <row r="9" spans="1:12" ht="20.100000000000001" customHeight="1">
      <c r="A9" s="39">
        <v>1.1000000000000001</v>
      </c>
      <c r="B9" s="71" t="s">
        <v>119</v>
      </c>
      <c r="C9" s="71"/>
      <c r="D9" s="40">
        <v>1471175.98</v>
      </c>
      <c r="E9" s="41">
        <v>0</v>
      </c>
      <c r="F9" s="41">
        <v>0</v>
      </c>
      <c r="G9" s="40">
        <v>33919.94</v>
      </c>
      <c r="H9" s="41">
        <v>0</v>
      </c>
      <c r="I9" s="69">
        <f>SUM(D9:H9)</f>
        <v>1505095.92</v>
      </c>
      <c r="J9" s="70"/>
      <c r="K9" s="42">
        <f>I9/55292.25</f>
        <v>27.220739253692877</v>
      </c>
      <c r="L9" s="43">
        <f>I9/$I$51</f>
        <v>5.5327425226212685E-3</v>
      </c>
    </row>
    <row r="10" spans="1:12" ht="20.100000000000001" customHeight="1">
      <c r="A10" s="39">
        <v>1.2</v>
      </c>
      <c r="B10" s="71" t="s">
        <v>120</v>
      </c>
      <c r="C10" s="71"/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69">
        <f>SUM(D10:H10)</f>
        <v>0</v>
      </c>
      <c r="J10" s="70"/>
      <c r="K10" s="42">
        <f>I10/55292.25</f>
        <v>0</v>
      </c>
      <c r="L10" s="43">
        <f t="shared" ref="L10:L48" si="0">I10/$I$51</f>
        <v>0</v>
      </c>
    </row>
    <row r="11" spans="1:12" ht="20.100000000000001" customHeight="1">
      <c r="A11" s="39">
        <v>1.3</v>
      </c>
      <c r="B11" s="71" t="s">
        <v>121</v>
      </c>
      <c r="C11" s="71"/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69">
        <f>SUM(D11:H11)</f>
        <v>0</v>
      </c>
      <c r="J11" s="70"/>
      <c r="K11" s="42">
        <f t="shared" ref="K11:K44" si="1">I11/55292.25</f>
        <v>0</v>
      </c>
      <c r="L11" s="43">
        <f t="shared" si="0"/>
        <v>0</v>
      </c>
    </row>
    <row r="12" spans="1:12" ht="20.100000000000001" customHeight="1">
      <c r="A12" s="39">
        <v>1.4</v>
      </c>
      <c r="B12" s="71" t="s">
        <v>122</v>
      </c>
      <c r="C12" s="71"/>
      <c r="D12" s="40">
        <v>204099.67</v>
      </c>
      <c r="E12" s="41">
        <v>1426916.74</v>
      </c>
      <c r="F12" s="41">
        <v>1381417.38</v>
      </c>
      <c r="G12" s="40">
        <v>98113.34</v>
      </c>
      <c r="H12" s="41">
        <v>0</v>
      </c>
      <c r="I12" s="69">
        <f>SUM(D12:H12)</f>
        <v>3110547.13</v>
      </c>
      <c r="J12" s="70"/>
      <c r="K12" s="42">
        <f t="shared" si="1"/>
        <v>56.256475907563896</v>
      </c>
      <c r="L12" s="43">
        <f t="shared" si="0"/>
        <v>1.1434391752765196E-2</v>
      </c>
    </row>
    <row r="13" spans="1:12" ht="20.100000000000001" customHeight="1">
      <c r="A13" s="39">
        <v>1.5</v>
      </c>
      <c r="B13" s="71" t="s">
        <v>123</v>
      </c>
      <c r="C13" s="71"/>
      <c r="D13" s="40">
        <v>18873468.77</v>
      </c>
      <c r="E13" s="41">
        <v>12830204.75</v>
      </c>
      <c r="F13" s="41">
        <v>12732562.5</v>
      </c>
      <c r="G13" s="40">
        <v>750454.87</v>
      </c>
      <c r="H13" s="41">
        <v>0</v>
      </c>
      <c r="I13" s="69">
        <f t="shared" ref="I13:I44" si="2">SUM(D13:H13)</f>
        <v>45186690.889999993</v>
      </c>
      <c r="J13" s="70"/>
      <c r="K13" s="42">
        <f t="shared" si="1"/>
        <v>817.23371521325305</v>
      </c>
      <c r="L13" s="43">
        <f t="shared" si="0"/>
        <v>0.16610657355555522</v>
      </c>
    </row>
    <row r="14" spans="1:12" ht="20.100000000000001" customHeight="1">
      <c r="A14" s="39">
        <v>1.6</v>
      </c>
      <c r="B14" s="71" t="s">
        <v>124</v>
      </c>
      <c r="C14" s="71"/>
      <c r="D14" s="41">
        <v>0</v>
      </c>
      <c r="E14" s="41">
        <v>254247.37</v>
      </c>
      <c r="F14" s="41">
        <v>246219.28</v>
      </c>
      <c r="G14" s="41">
        <v>0</v>
      </c>
      <c r="H14" s="41">
        <v>0</v>
      </c>
      <c r="I14" s="69">
        <f>SUM(D14:H14)</f>
        <v>500466.65</v>
      </c>
      <c r="J14" s="70"/>
      <c r="K14" s="42">
        <f t="shared" si="1"/>
        <v>9.051298328427583</v>
      </c>
      <c r="L14" s="43">
        <f t="shared" si="0"/>
        <v>1.8397187041798741E-3</v>
      </c>
    </row>
    <row r="15" spans="1:12" ht="20.100000000000001" customHeight="1">
      <c r="A15" s="39">
        <v>1.7</v>
      </c>
      <c r="B15" s="71" t="s">
        <v>125</v>
      </c>
      <c r="C15" s="71"/>
      <c r="D15" s="40">
        <v>152881.60999999999</v>
      </c>
      <c r="E15" s="41">
        <v>6224500.0599999996</v>
      </c>
      <c r="F15" s="41">
        <v>6203915.8799999999</v>
      </c>
      <c r="G15" s="40">
        <v>77171.98</v>
      </c>
      <c r="H15" s="41">
        <v>0</v>
      </c>
      <c r="I15" s="69">
        <f t="shared" si="2"/>
        <v>12658469.530000001</v>
      </c>
      <c r="J15" s="70"/>
      <c r="K15" s="42">
        <f t="shared" si="1"/>
        <v>228.93750082516087</v>
      </c>
      <c r="L15" s="43">
        <f t="shared" si="0"/>
        <v>4.6532617429417167E-2</v>
      </c>
    </row>
    <row r="16" spans="1:12" ht="20.100000000000001" customHeight="1">
      <c r="A16" s="39">
        <v>1.8</v>
      </c>
      <c r="B16" s="71" t="s">
        <v>126</v>
      </c>
      <c r="C16" s="71"/>
      <c r="D16" s="40">
        <v>3754527.08</v>
      </c>
      <c r="E16" s="41">
        <v>812625.45</v>
      </c>
      <c r="F16" s="41">
        <v>800303.57</v>
      </c>
      <c r="G16" s="40">
        <v>41948.78</v>
      </c>
      <c r="H16" s="41">
        <v>0</v>
      </c>
      <c r="I16" s="69">
        <f t="shared" si="2"/>
        <v>5409404.8800000008</v>
      </c>
      <c r="J16" s="70"/>
      <c r="K16" s="42">
        <f t="shared" si="1"/>
        <v>97.832967187987478</v>
      </c>
      <c r="L16" s="43">
        <f t="shared" si="0"/>
        <v>1.9885007994474534E-2</v>
      </c>
    </row>
    <row r="17" spans="1:12" ht="20.100000000000001" customHeight="1">
      <c r="A17" s="39">
        <v>1.9</v>
      </c>
      <c r="B17" s="71" t="s">
        <v>127</v>
      </c>
      <c r="C17" s="71"/>
      <c r="D17" s="40">
        <v>921823.59</v>
      </c>
      <c r="E17" s="41">
        <v>1416405.37</v>
      </c>
      <c r="F17" s="41">
        <v>1416411.32</v>
      </c>
      <c r="G17" s="40">
        <v>40274.75</v>
      </c>
      <c r="H17" s="41">
        <v>0</v>
      </c>
      <c r="I17" s="69">
        <f t="shared" si="2"/>
        <v>3794915.0300000003</v>
      </c>
      <c r="J17" s="70"/>
      <c r="K17" s="42">
        <f t="shared" si="1"/>
        <v>68.633760246689192</v>
      </c>
      <c r="L17" s="43">
        <f t="shared" si="0"/>
        <v>1.3950132664113241E-2</v>
      </c>
    </row>
    <row r="18" spans="1:12" ht="20.100000000000001" customHeight="1">
      <c r="A18" s="39">
        <v>1.1000000000000001</v>
      </c>
      <c r="B18" s="71" t="s">
        <v>128</v>
      </c>
      <c r="C18" s="71"/>
      <c r="D18" s="40">
        <v>1450385.25</v>
      </c>
      <c r="E18" s="41">
        <v>994398.32</v>
      </c>
      <c r="F18" s="41">
        <v>984312.62</v>
      </c>
      <c r="G18" s="40">
        <v>172811.49</v>
      </c>
      <c r="H18" s="41">
        <v>0</v>
      </c>
      <c r="I18" s="69">
        <f t="shared" si="2"/>
        <v>3601907.6799999997</v>
      </c>
      <c r="J18" s="70"/>
      <c r="K18" s="42">
        <f t="shared" si="1"/>
        <v>65.14308388607806</v>
      </c>
      <c r="L18" s="43">
        <f t="shared" si="0"/>
        <v>1.324063637332305E-2</v>
      </c>
    </row>
    <row r="19" spans="1:12" ht="20.100000000000001" customHeight="1">
      <c r="A19" s="39">
        <v>1.1100000000000001</v>
      </c>
      <c r="B19" s="71" t="s">
        <v>129</v>
      </c>
      <c r="C19" s="71"/>
      <c r="D19" s="40">
        <v>508484.7</v>
      </c>
      <c r="E19" s="41">
        <v>2125202.86</v>
      </c>
      <c r="F19" s="41">
        <v>2115067.61</v>
      </c>
      <c r="G19" s="40">
        <v>202676.09</v>
      </c>
      <c r="H19" s="41">
        <v>0</v>
      </c>
      <c r="I19" s="69">
        <f t="shared" si="2"/>
        <v>4951431.26</v>
      </c>
      <c r="J19" s="70"/>
      <c r="K19" s="42">
        <f t="shared" si="1"/>
        <v>89.550185785530516</v>
      </c>
      <c r="L19" s="43">
        <f t="shared" si="0"/>
        <v>1.8201493948663553E-2</v>
      </c>
    </row>
    <row r="20" spans="1:12" ht="20.100000000000001" customHeight="1">
      <c r="A20" s="39">
        <v>1.1200000000000001</v>
      </c>
      <c r="B20" s="71" t="s">
        <v>130</v>
      </c>
      <c r="C20" s="71"/>
      <c r="D20" s="40">
        <v>1129888.8999999999</v>
      </c>
      <c r="E20" s="41">
        <v>4746214.9000000004</v>
      </c>
      <c r="F20" s="41">
        <v>4746214.9000000004</v>
      </c>
      <c r="G20" s="40">
        <v>160930.31</v>
      </c>
      <c r="H20" s="41">
        <v>0</v>
      </c>
      <c r="I20" s="69">
        <f t="shared" si="2"/>
        <v>10783249.010000002</v>
      </c>
      <c r="J20" s="70"/>
      <c r="K20" s="42">
        <f t="shared" si="1"/>
        <v>195.02279270603026</v>
      </c>
      <c r="L20" s="43">
        <f t="shared" si="0"/>
        <v>3.9639294437553659E-2</v>
      </c>
    </row>
    <row r="21" spans="1:12" ht="20.100000000000001" customHeight="1">
      <c r="A21" s="39">
        <v>1.1299999999999999</v>
      </c>
      <c r="B21" s="71" t="s">
        <v>131</v>
      </c>
      <c r="C21" s="71"/>
      <c r="D21" s="40">
        <v>24820.54</v>
      </c>
      <c r="E21" s="41">
        <v>1518345.78</v>
      </c>
      <c r="F21" s="41">
        <v>1522362.16</v>
      </c>
      <c r="G21" s="41">
        <v>0</v>
      </c>
      <c r="H21" s="41">
        <v>0</v>
      </c>
      <c r="I21" s="69">
        <f t="shared" si="2"/>
        <v>3065528.48</v>
      </c>
      <c r="J21" s="70"/>
      <c r="K21" s="42">
        <f t="shared" si="1"/>
        <v>55.44228133237479</v>
      </c>
      <c r="L21" s="43">
        <f t="shared" si="0"/>
        <v>1.1268902898628908E-2</v>
      </c>
    </row>
    <row r="22" spans="1:12" ht="20.100000000000001" customHeight="1">
      <c r="A22" s="33" t="s">
        <v>96</v>
      </c>
      <c r="B22" s="63" t="s">
        <v>97</v>
      </c>
      <c r="C22" s="64"/>
      <c r="D22" s="35">
        <f>SUM(D23:D28)</f>
        <v>7298257.4900000002</v>
      </c>
      <c r="E22" s="35">
        <f>SUM(E23:E28)</f>
        <v>10354367.859999999</v>
      </c>
      <c r="F22" s="35">
        <f>SUM(F23:F28)</f>
        <v>10287911.460000001</v>
      </c>
      <c r="G22" s="35">
        <f>SUM(G23:G28)</f>
        <v>168634.35</v>
      </c>
      <c r="H22" s="35">
        <f>SUM(H23:H28)</f>
        <v>611886.05000000005</v>
      </c>
      <c r="I22" s="65">
        <f>SUM(D22:H22)</f>
        <v>28721057.210000005</v>
      </c>
      <c r="J22" s="66"/>
      <c r="K22" s="37">
        <f>I22/55292.25</f>
        <v>519.44092002043692</v>
      </c>
      <c r="L22" s="38">
        <f>I22/$I$51</f>
        <v>0.10557879561616591</v>
      </c>
    </row>
    <row r="23" spans="1:12" ht="20.100000000000001" customHeight="1">
      <c r="A23" s="39">
        <v>2.1</v>
      </c>
      <c r="B23" s="67" t="s">
        <v>132</v>
      </c>
      <c r="C23" s="68"/>
      <c r="D23" s="41">
        <v>842283.69</v>
      </c>
      <c r="E23" s="41">
        <v>4910082.2</v>
      </c>
      <c r="F23" s="41">
        <v>5016628.9400000004</v>
      </c>
      <c r="G23" s="41">
        <v>105521.29</v>
      </c>
      <c r="H23" s="41">
        <v>0</v>
      </c>
      <c r="I23" s="69">
        <f t="shared" si="2"/>
        <v>10874516.120000001</v>
      </c>
      <c r="J23" s="70"/>
      <c r="K23" s="42">
        <f t="shared" si="1"/>
        <v>196.67342385234824</v>
      </c>
      <c r="L23" s="43">
        <f t="shared" si="0"/>
        <v>3.9974792935492415E-2</v>
      </c>
    </row>
    <row r="24" spans="1:12" ht="20.100000000000001" customHeight="1">
      <c r="A24" s="39">
        <v>2.2000000000000002</v>
      </c>
      <c r="B24" s="67" t="s">
        <v>133</v>
      </c>
      <c r="C24" s="68"/>
      <c r="D24" s="41">
        <v>965316.5</v>
      </c>
      <c r="E24" s="41">
        <v>3439077.03</v>
      </c>
      <c r="F24" s="41">
        <v>3340713.78</v>
      </c>
      <c r="G24" s="41">
        <v>26101.77</v>
      </c>
      <c r="H24" s="41">
        <v>432505.39</v>
      </c>
      <c r="I24" s="69">
        <f t="shared" si="2"/>
        <v>8203714.4699999979</v>
      </c>
      <c r="J24" s="70"/>
      <c r="K24" s="42">
        <f t="shared" si="1"/>
        <v>148.3700603610813</v>
      </c>
      <c r="L24" s="43">
        <f t="shared" si="0"/>
        <v>3.0156908465749074E-2</v>
      </c>
    </row>
    <row r="25" spans="1:12" ht="20.100000000000001" customHeight="1">
      <c r="A25" s="39">
        <v>2.2999999999999998</v>
      </c>
      <c r="B25" s="67" t="s">
        <v>134</v>
      </c>
      <c r="C25" s="68"/>
      <c r="D25" s="41">
        <v>1645499.94</v>
      </c>
      <c r="E25" s="41">
        <v>478439.84</v>
      </c>
      <c r="F25" s="41">
        <v>404628</v>
      </c>
      <c r="G25" s="41">
        <v>37011.29</v>
      </c>
      <c r="H25" s="41">
        <v>179380.66</v>
      </c>
      <c r="I25" s="69">
        <f t="shared" si="2"/>
        <v>2744959.73</v>
      </c>
      <c r="J25" s="70"/>
      <c r="K25" s="42">
        <f t="shared" si="1"/>
        <v>49.644565558464343</v>
      </c>
      <c r="L25" s="43">
        <f t="shared" si="0"/>
        <v>1.0090490060629488E-2</v>
      </c>
    </row>
    <row r="26" spans="1:12" ht="20.100000000000001" customHeight="1">
      <c r="A26" s="39">
        <v>2.4</v>
      </c>
      <c r="B26" s="67" t="s">
        <v>135</v>
      </c>
      <c r="C26" s="68"/>
      <c r="D26" s="41">
        <v>846327.51</v>
      </c>
      <c r="E26" s="41">
        <v>358616.29</v>
      </c>
      <c r="F26" s="41">
        <v>357788.24</v>
      </c>
      <c r="G26" s="41">
        <v>0</v>
      </c>
      <c r="H26" s="41">
        <v>0</v>
      </c>
      <c r="I26" s="69">
        <f t="shared" si="2"/>
        <v>1562732.04</v>
      </c>
      <c r="J26" s="70"/>
      <c r="K26" s="42">
        <f t="shared" si="1"/>
        <v>28.2631298237999</v>
      </c>
      <c r="L26" s="43">
        <f t="shared" si="0"/>
        <v>5.7446132796444499E-3</v>
      </c>
    </row>
    <row r="27" spans="1:12" ht="20.100000000000001" customHeight="1">
      <c r="A27" s="39">
        <v>2.5</v>
      </c>
      <c r="B27" s="67" t="s">
        <v>136</v>
      </c>
      <c r="C27" s="68"/>
      <c r="D27" s="41">
        <v>0</v>
      </c>
      <c r="E27" s="41">
        <v>1168152.5</v>
      </c>
      <c r="F27" s="41">
        <v>1168152.5</v>
      </c>
      <c r="G27" s="41">
        <v>0</v>
      </c>
      <c r="H27" s="41">
        <v>0</v>
      </c>
      <c r="I27" s="69">
        <f t="shared" si="2"/>
        <v>2336305</v>
      </c>
      <c r="J27" s="70"/>
      <c r="K27" s="42">
        <f t="shared" si="1"/>
        <v>42.253751655973488</v>
      </c>
      <c r="L27" s="43">
        <f t="shared" si="0"/>
        <v>8.5882725795394365E-3</v>
      </c>
    </row>
    <row r="28" spans="1:12" ht="20.100000000000001" customHeight="1">
      <c r="A28" s="39">
        <v>2.6</v>
      </c>
      <c r="B28" s="67" t="s">
        <v>137</v>
      </c>
      <c r="C28" s="68"/>
      <c r="D28" s="41">
        <v>2998829.85</v>
      </c>
      <c r="E28" s="41">
        <v>0</v>
      </c>
      <c r="F28" s="41">
        <v>0</v>
      </c>
      <c r="G28" s="41">
        <v>0</v>
      </c>
      <c r="H28" s="41">
        <v>0</v>
      </c>
      <c r="I28" s="69">
        <f t="shared" si="2"/>
        <v>2998829.85</v>
      </c>
      <c r="J28" s="70"/>
      <c r="K28" s="42">
        <f t="shared" si="1"/>
        <v>54.235988768769587</v>
      </c>
      <c r="L28" s="43">
        <f t="shared" si="0"/>
        <v>1.1023718295111026E-2</v>
      </c>
    </row>
    <row r="29" spans="1:12" ht="20.100000000000001" customHeight="1">
      <c r="A29" s="33" t="s">
        <v>98</v>
      </c>
      <c r="B29" s="63" t="s">
        <v>99</v>
      </c>
      <c r="C29" s="64"/>
      <c r="D29" s="35">
        <f>SUM(D30:D35)</f>
        <v>502519.08999999997</v>
      </c>
      <c r="E29" s="35">
        <f>SUM(E30:E35)</f>
        <v>34178736.160000004</v>
      </c>
      <c r="F29" s="35">
        <f>SUM(F30:F35)</f>
        <v>34178312.310000002</v>
      </c>
      <c r="G29" s="35">
        <f>SUM(G30:G35)</f>
        <v>0</v>
      </c>
      <c r="H29" s="35">
        <f>SUM(H30:H35)</f>
        <v>0</v>
      </c>
      <c r="I29" s="65">
        <f>SUM(D29:H29)</f>
        <v>68859567.560000002</v>
      </c>
      <c r="J29" s="66"/>
      <c r="K29" s="37">
        <f>I29/55292.25</f>
        <v>1245.3746693252672</v>
      </c>
      <c r="L29" s="38">
        <f>I29/$I$51</f>
        <v>0.2531282242320636</v>
      </c>
    </row>
    <row r="30" spans="1:12" ht="20.100000000000001" customHeight="1">
      <c r="A30" s="39">
        <v>3.1</v>
      </c>
      <c r="B30" s="71" t="s">
        <v>138</v>
      </c>
      <c r="C30" s="71"/>
      <c r="D30" s="40">
        <v>128660.03</v>
      </c>
      <c r="E30" s="41">
        <v>1164306.04</v>
      </c>
      <c r="F30" s="41">
        <v>1164306.04</v>
      </c>
      <c r="G30" s="41">
        <v>0</v>
      </c>
      <c r="H30" s="41">
        <v>0</v>
      </c>
      <c r="I30" s="69">
        <f t="shared" si="2"/>
        <v>2457272.1100000003</v>
      </c>
      <c r="J30" s="70"/>
      <c r="K30" s="42">
        <f t="shared" si="1"/>
        <v>44.441528604822565</v>
      </c>
      <c r="L30" s="43">
        <f t="shared" si="0"/>
        <v>9.0329484732430132E-3</v>
      </c>
    </row>
    <row r="31" spans="1:12" ht="20.100000000000001" customHeight="1">
      <c r="A31" s="39">
        <v>3.2</v>
      </c>
      <c r="B31" s="71" t="s">
        <v>139</v>
      </c>
      <c r="C31" s="71"/>
      <c r="D31" s="40">
        <v>373859.06</v>
      </c>
      <c r="E31" s="41">
        <v>1838597.75</v>
      </c>
      <c r="F31" s="41">
        <v>1838597.75</v>
      </c>
      <c r="G31" s="41">
        <v>0</v>
      </c>
      <c r="H31" s="41">
        <v>0</v>
      </c>
      <c r="I31" s="69">
        <f t="shared" si="2"/>
        <v>4051054.56</v>
      </c>
      <c r="J31" s="70"/>
      <c r="K31" s="42">
        <f t="shared" si="1"/>
        <v>73.266227364594499</v>
      </c>
      <c r="L31" s="43">
        <f t="shared" si="0"/>
        <v>1.4891703264713382E-2</v>
      </c>
    </row>
    <row r="32" spans="1:12" ht="20.100000000000001" customHeight="1">
      <c r="A32" s="39">
        <v>3.3</v>
      </c>
      <c r="B32" s="71" t="s">
        <v>140</v>
      </c>
      <c r="C32" s="71"/>
      <c r="D32" s="41">
        <v>0</v>
      </c>
      <c r="E32" s="41">
        <v>5399811.1500000004</v>
      </c>
      <c r="F32" s="41">
        <v>5399811.1500000004</v>
      </c>
      <c r="G32" s="41">
        <v>0</v>
      </c>
      <c r="H32" s="41">
        <v>0</v>
      </c>
      <c r="I32" s="69">
        <f t="shared" si="2"/>
        <v>10799622.300000001</v>
      </c>
      <c r="J32" s="70"/>
      <c r="K32" s="42">
        <f t="shared" si="1"/>
        <v>195.31891539953611</v>
      </c>
      <c r="L32" s="43">
        <f t="shared" si="0"/>
        <v>3.9699482759516687E-2</v>
      </c>
    </row>
    <row r="33" spans="1:12" ht="20.100000000000001" customHeight="1">
      <c r="A33" s="39">
        <v>3.4</v>
      </c>
      <c r="B33" s="71" t="s">
        <v>141</v>
      </c>
      <c r="C33" s="71"/>
      <c r="D33" s="41">
        <v>0</v>
      </c>
      <c r="E33" s="41">
        <v>11582917.52</v>
      </c>
      <c r="F33" s="41">
        <v>11582917.52</v>
      </c>
      <c r="G33" s="41">
        <v>0</v>
      </c>
      <c r="H33" s="41">
        <v>0</v>
      </c>
      <c r="I33" s="69">
        <f t="shared" si="2"/>
        <v>23165835.039999999</v>
      </c>
      <c r="J33" s="70"/>
      <c r="K33" s="42">
        <f t="shared" si="1"/>
        <v>418.97074255433625</v>
      </c>
      <c r="L33" s="43">
        <f t="shared" si="0"/>
        <v>8.5157762302510112E-2</v>
      </c>
    </row>
    <row r="34" spans="1:12" ht="20.100000000000001" customHeight="1">
      <c r="A34" s="39">
        <v>3.5</v>
      </c>
      <c r="B34" s="71" t="s">
        <v>142</v>
      </c>
      <c r="C34" s="71"/>
      <c r="D34" s="41">
        <v>0</v>
      </c>
      <c r="E34" s="41">
        <v>9447535.2100000009</v>
      </c>
      <c r="F34" s="41">
        <v>9447535.2100000009</v>
      </c>
      <c r="G34" s="41">
        <v>0</v>
      </c>
      <c r="H34" s="41">
        <v>0</v>
      </c>
      <c r="I34" s="69">
        <f t="shared" si="2"/>
        <v>18895070.420000002</v>
      </c>
      <c r="J34" s="70"/>
      <c r="K34" s="42">
        <f t="shared" si="1"/>
        <v>341.73090116607665</v>
      </c>
      <c r="L34" s="43">
        <f t="shared" si="0"/>
        <v>6.9458403409038083E-2</v>
      </c>
    </row>
    <row r="35" spans="1:12" ht="20.100000000000001" customHeight="1">
      <c r="A35" s="39">
        <v>3.6</v>
      </c>
      <c r="B35" s="71" t="s">
        <v>143</v>
      </c>
      <c r="C35" s="71"/>
      <c r="D35" s="41">
        <v>0</v>
      </c>
      <c r="E35" s="41">
        <v>4745568.49</v>
      </c>
      <c r="F35" s="41">
        <v>4745144.6399999997</v>
      </c>
      <c r="G35" s="41">
        <v>0</v>
      </c>
      <c r="H35" s="41">
        <v>0</v>
      </c>
      <c r="I35" s="69">
        <f t="shared" si="2"/>
        <v>9490713.129999999</v>
      </c>
      <c r="J35" s="70"/>
      <c r="K35" s="42">
        <f t="shared" si="1"/>
        <v>171.64635423590104</v>
      </c>
      <c r="L35" s="43">
        <f t="shared" si="0"/>
        <v>3.4887924023042326E-2</v>
      </c>
    </row>
    <row r="36" spans="1:12" ht="20.100000000000001" customHeight="1">
      <c r="A36" s="33" t="s">
        <v>100</v>
      </c>
      <c r="B36" s="63" t="s">
        <v>101</v>
      </c>
      <c r="C36" s="64"/>
      <c r="D36" s="35">
        <f>SUM(D37:D44)</f>
        <v>13432.73</v>
      </c>
      <c r="E36" s="35">
        <f>SUM(E37:E44)</f>
        <v>9826447.9100000001</v>
      </c>
      <c r="F36" s="35">
        <f>SUM(F37:F44)</f>
        <v>9826447.9099999908</v>
      </c>
      <c r="G36" s="35">
        <f>SUM(G37:G44)</f>
        <v>0</v>
      </c>
      <c r="H36" s="35">
        <f t="shared" ref="H36" si="3">SUM(H37:H44)</f>
        <v>0</v>
      </c>
      <c r="I36" s="65">
        <f>SUM(D36:H36)</f>
        <v>19666328.54999999</v>
      </c>
      <c r="J36" s="66"/>
      <c r="K36" s="37">
        <f>I36/55292.25</f>
        <v>355.67965763737215</v>
      </c>
      <c r="L36" s="38">
        <f>I36/$I$51</f>
        <v>7.2293553378595041E-2</v>
      </c>
    </row>
    <row r="37" spans="1:12" ht="20.100000000000001" customHeight="1">
      <c r="A37" s="39">
        <v>4.0999999999999996</v>
      </c>
      <c r="B37" s="71" t="s">
        <v>144</v>
      </c>
      <c r="C37" s="71"/>
      <c r="D37" s="41">
        <v>6369.03</v>
      </c>
      <c r="E37" s="41">
        <v>0</v>
      </c>
      <c r="F37" s="41">
        <v>0</v>
      </c>
      <c r="G37" s="41">
        <v>0</v>
      </c>
      <c r="H37" s="41">
        <v>0</v>
      </c>
      <c r="I37" s="69">
        <f t="shared" si="2"/>
        <v>6369.03</v>
      </c>
      <c r="J37" s="70"/>
      <c r="K37" s="42">
        <f t="shared" si="1"/>
        <v>0.11518847578096388</v>
      </c>
      <c r="L37" s="43">
        <f t="shared" si="0"/>
        <v>2.341259626087521E-5</v>
      </c>
    </row>
    <row r="38" spans="1:12" ht="20.100000000000001" customHeight="1">
      <c r="A38" s="39">
        <v>4.2</v>
      </c>
      <c r="B38" s="71" t="s">
        <v>145</v>
      </c>
      <c r="C38" s="71"/>
      <c r="D38" s="41">
        <v>7063.7</v>
      </c>
      <c r="E38" s="41">
        <v>0</v>
      </c>
      <c r="F38" s="41">
        <v>0</v>
      </c>
      <c r="G38" s="41">
        <v>0</v>
      </c>
      <c r="H38" s="41">
        <v>0</v>
      </c>
      <c r="I38" s="69">
        <f t="shared" si="2"/>
        <v>7063.7</v>
      </c>
      <c r="J38" s="70"/>
      <c r="K38" s="42">
        <f t="shared" si="1"/>
        <v>0.12775208098784188</v>
      </c>
      <c r="L38" s="43">
        <f t="shared" si="0"/>
        <v>2.5966207759728599E-5</v>
      </c>
    </row>
    <row r="39" spans="1:12" ht="20.100000000000001" customHeight="1">
      <c r="A39" s="39">
        <v>4.3</v>
      </c>
      <c r="B39" s="71" t="s">
        <v>138</v>
      </c>
      <c r="C39" s="71"/>
      <c r="D39" s="41">
        <v>0</v>
      </c>
      <c r="E39" s="41">
        <v>99997.74</v>
      </c>
      <c r="F39" s="41">
        <v>99997.74</v>
      </c>
      <c r="G39" s="41">
        <v>0</v>
      </c>
      <c r="H39" s="41">
        <v>0</v>
      </c>
      <c r="I39" s="69">
        <f t="shared" si="2"/>
        <v>199995.48</v>
      </c>
      <c r="J39" s="70"/>
      <c r="K39" s="42">
        <f t="shared" si="1"/>
        <v>3.6170617039458515</v>
      </c>
      <c r="L39" s="43">
        <f t="shared" si="0"/>
        <v>7.3518470273180433E-4</v>
      </c>
    </row>
    <row r="40" spans="1:12" ht="20.100000000000001" customHeight="1">
      <c r="A40" s="39">
        <v>4.4000000000000004</v>
      </c>
      <c r="B40" s="71" t="s">
        <v>139</v>
      </c>
      <c r="C40" s="71"/>
      <c r="D40" s="41">
        <v>0</v>
      </c>
      <c r="E40" s="41">
        <v>117847.49</v>
      </c>
      <c r="F40" s="41">
        <v>117847.49</v>
      </c>
      <c r="G40" s="41">
        <v>0</v>
      </c>
      <c r="H40" s="41">
        <v>0</v>
      </c>
      <c r="I40" s="69">
        <f t="shared" si="2"/>
        <v>235694.98</v>
      </c>
      <c r="J40" s="70"/>
      <c r="K40" s="42">
        <f t="shared" si="1"/>
        <v>4.2627127671599547</v>
      </c>
      <c r="L40" s="43">
        <f t="shared" si="0"/>
        <v>8.6641630004177371E-4</v>
      </c>
    </row>
    <row r="41" spans="1:12" ht="20.100000000000001" customHeight="1">
      <c r="A41" s="39">
        <v>4.5</v>
      </c>
      <c r="B41" s="71" t="s">
        <v>140</v>
      </c>
      <c r="C41" s="71"/>
      <c r="D41" s="41">
        <v>0</v>
      </c>
      <c r="E41" s="41">
        <v>1711594.13</v>
      </c>
      <c r="F41" s="41">
        <v>1711594.1299999901</v>
      </c>
      <c r="G41" s="41">
        <v>0</v>
      </c>
      <c r="H41" s="41">
        <v>0</v>
      </c>
      <c r="I41" s="69">
        <f t="shared" si="2"/>
        <v>3423188.25999999</v>
      </c>
      <c r="J41" s="70"/>
      <c r="K41" s="42">
        <f t="shared" si="1"/>
        <v>61.910814987633707</v>
      </c>
      <c r="L41" s="43">
        <f t="shared" si="0"/>
        <v>1.2583662607390401E-2</v>
      </c>
    </row>
    <row r="42" spans="1:12" ht="20.100000000000001" customHeight="1">
      <c r="A42" s="39">
        <v>4.5999999999999996</v>
      </c>
      <c r="B42" s="71" t="s">
        <v>141</v>
      </c>
      <c r="C42" s="71"/>
      <c r="D42" s="41">
        <v>0</v>
      </c>
      <c r="E42" s="41">
        <v>3080689.5</v>
      </c>
      <c r="F42" s="41">
        <v>3080689.5</v>
      </c>
      <c r="G42" s="41">
        <v>0</v>
      </c>
      <c r="H42" s="41">
        <v>0</v>
      </c>
      <c r="I42" s="69">
        <f t="shared" si="2"/>
        <v>6161379</v>
      </c>
      <c r="J42" s="70"/>
      <c r="K42" s="42">
        <f t="shared" si="1"/>
        <v>111.43295850684318</v>
      </c>
      <c r="L42" s="43">
        <f t="shared" si="0"/>
        <v>2.2649269816162752E-2</v>
      </c>
    </row>
    <row r="43" spans="1:12" ht="20.100000000000001" customHeight="1">
      <c r="A43" s="39">
        <v>4.7</v>
      </c>
      <c r="B43" s="71" t="s">
        <v>142</v>
      </c>
      <c r="C43" s="71"/>
      <c r="D43" s="41">
        <v>0</v>
      </c>
      <c r="E43" s="41">
        <v>3514375.22</v>
      </c>
      <c r="F43" s="41">
        <v>3514375.22</v>
      </c>
      <c r="G43" s="41">
        <v>0</v>
      </c>
      <c r="H43" s="41">
        <v>0</v>
      </c>
      <c r="I43" s="69">
        <f t="shared" si="2"/>
        <v>7028750.4400000004</v>
      </c>
      <c r="J43" s="70"/>
      <c r="K43" s="42">
        <f t="shared" si="1"/>
        <v>127.11999312742745</v>
      </c>
      <c r="L43" s="43">
        <f t="shared" si="0"/>
        <v>2.5837732946801792E-2</v>
      </c>
    </row>
    <row r="44" spans="1:12" ht="20.100000000000001" customHeight="1">
      <c r="A44" s="39">
        <v>4.8</v>
      </c>
      <c r="B44" s="71" t="s">
        <v>143</v>
      </c>
      <c r="C44" s="71"/>
      <c r="D44" s="41">
        <v>0</v>
      </c>
      <c r="E44" s="41">
        <v>1301943.83</v>
      </c>
      <c r="F44" s="41">
        <v>1301943.83</v>
      </c>
      <c r="G44" s="41">
        <v>0</v>
      </c>
      <c r="H44" s="41">
        <v>0</v>
      </c>
      <c r="I44" s="69">
        <f t="shared" si="2"/>
        <v>2603887.66</v>
      </c>
      <c r="J44" s="70"/>
      <c r="K44" s="42">
        <f t="shared" si="1"/>
        <v>47.093175987593199</v>
      </c>
      <c r="L44" s="43">
        <f t="shared" si="0"/>
        <v>9.5719082014459195E-3</v>
      </c>
    </row>
    <row r="45" spans="1:12" ht="20.100000000000001" customHeight="1">
      <c r="A45" s="33" t="s">
        <v>102</v>
      </c>
      <c r="B45" s="63" t="s">
        <v>103</v>
      </c>
      <c r="C45" s="64"/>
      <c r="D45" s="35">
        <f>SUM(D46:D47)</f>
        <v>4297656.0299999993</v>
      </c>
      <c r="E45" s="35">
        <f>SUM(E46:E47)</f>
        <v>14775352.25</v>
      </c>
      <c r="F45" s="35">
        <f>SUM(F46:F47)</f>
        <v>15400330.080000002</v>
      </c>
      <c r="G45" s="35">
        <f>SUM(G46:G47)</f>
        <v>397385.41000000003</v>
      </c>
      <c r="H45" s="35">
        <f>SUM(H46:H47)</f>
        <v>56187.700000000004</v>
      </c>
      <c r="I45" s="65">
        <f>SUM(D45:H45)</f>
        <v>34926911.469999999</v>
      </c>
      <c r="J45" s="66"/>
      <c r="K45" s="37">
        <f>I45/55292.25</f>
        <v>631.67824550456885</v>
      </c>
      <c r="L45" s="38">
        <f>I45/$I$51</f>
        <v>0.12839155678124323</v>
      </c>
    </row>
    <row r="46" spans="1:12" ht="20.100000000000001" customHeight="1">
      <c r="A46" s="39">
        <v>4.0999999999999996</v>
      </c>
      <c r="B46" s="67" t="s">
        <v>146</v>
      </c>
      <c r="C46" s="68"/>
      <c r="D46" s="44">
        <f>'表1的附件数据（五~十项的）'!B3+'表1的附件数据（五~十项的）'!B8+'表1的附件数据（五~十项的）'!B13+'表1的附件数据（五~十项的）'!B19+'表1的附件数据（五~十项的）'!B25+'表1的附件数据（五~十项的）'!B34+'表1的附件数据（五~十项的）'!B38+'表1的附件数据（五~十项的）'!B32</f>
        <v>1658363.85</v>
      </c>
      <c r="E46" s="44">
        <f>'表1的附件数据（五~十项的）'!B4+'表1的附件数据（五~十项的）'!B9+'表1的附件数据（五~十项的）'!B14+'表1的附件数据（五~十项的）'!B20+'表1的附件数据（五~十项的）'!B26+'表1的附件数据（五~十项的）'!B29+'表1的附件数据（五~十项的）'!B35+'表1的附件数据（五~十项的）'!B39</f>
        <v>5573925.6199999992</v>
      </c>
      <c r="F46" s="44">
        <f>+'表1的附件数据（五~十项的）'!B5+'表1的附件数据（五~十项的）'!B10+'表1的附件数据（五~十项的）'!B15+'表1的附件数据（五~十项的）'!B21+'表1的附件数据（五~十项的）'!B27+'表1的附件数据（五~十项的）'!B30+'表1的附件数据（五~十项的）'!B36+'表1的附件数据（五~十项的）'!B40</f>
        <v>5538300.0200000014</v>
      </c>
      <c r="G46" s="44">
        <f>+'表1的附件数据（五~十项的）'!B6+'表1的附件数据（五~十项的）'!B11+'表1的附件数据（五~十项的）'!B16+'表1的附件数据（五~十项的）'!B22</f>
        <v>120199.63</v>
      </c>
      <c r="H46" s="44">
        <f>+'表1的附件数据（五~十项的）'!B17+'表1的附件数据（五~十项的）'!B23+0</f>
        <v>56187.700000000004</v>
      </c>
      <c r="I46" s="69">
        <f t="shared" ref="I46:I48" si="4">SUM(D46:H46)</f>
        <v>12946976.82</v>
      </c>
      <c r="J46" s="70"/>
      <c r="K46" s="42">
        <f t="shared" ref="K46:K48" si="5">I46/55292.25</f>
        <v>234.15536209866664</v>
      </c>
      <c r="L46" s="43">
        <f t="shared" si="0"/>
        <v>4.7593172129126421E-2</v>
      </c>
    </row>
    <row r="47" spans="1:12" ht="20.100000000000001" customHeight="1">
      <c r="A47" s="39">
        <v>4.2</v>
      </c>
      <c r="B47" s="67" t="s">
        <v>147</v>
      </c>
      <c r="C47" s="68"/>
      <c r="D47" s="44">
        <f>+'表1的附件数据（五~十项的）'!C3+'表1的附件数据（五~十项的）'!C8+'表1的附件数据（五~十项的）'!C13+'表1的附件数据（五~十项的）'!C19+'表1的附件数据（五~十项的）'!C25+'表1的附件数据（五~十项的）'!C34+'表1的附件数据（五~十项的）'!C38+'表1的附件数据（五~十项的）'!C32</f>
        <v>2639292.1799999997</v>
      </c>
      <c r="E47" s="44">
        <f>+'表1的附件数据（五~十项的）'!C4+'表1的附件数据（五~十项的）'!C9+'表1的附件数据（五~十项的）'!C14+'表1的附件数据（五~十项的）'!C20+'表1的附件数据（五~十项的）'!C26+'表1的附件数据（五~十项的）'!C29+'表1的附件数据（五~十项的）'!C35+'表1的附件数据（五~十项的）'!C39</f>
        <v>9201426.6300000008</v>
      </c>
      <c r="F47" s="44">
        <f>+'表1的附件数据（五~十项的）'!C5+'表1的附件数据（五~十项的）'!C10+'表1的附件数据（五~十项的）'!C15+'表1的附件数据（五~十项的）'!C21+'表1的附件数据（五~十项的）'!C27+'表1的附件数据（五~十项的）'!C30+'表1的附件数据（五~十项的）'!C36+'表1的附件数据（五~十项的）'!C40</f>
        <v>9862030.0600000005</v>
      </c>
      <c r="G47" s="44">
        <f>+'表1的附件数据（五~十项的）'!C6+'表1的附件数据（五~十项的）'!C11+'表1的附件数据（五~十项的）'!C16+'表1的附件数据（五~十项的）'!C22</f>
        <v>277185.78000000003</v>
      </c>
      <c r="H47" s="44">
        <f>+'表1的附件数据（五~十项的）'!C17+'表1的附件数据（五~十项的）'!C23</f>
        <v>0</v>
      </c>
      <c r="I47" s="69">
        <f t="shared" si="4"/>
        <v>21979934.650000002</v>
      </c>
      <c r="J47" s="70"/>
      <c r="K47" s="42">
        <f t="shared" si="5"/>
        <v>397.52288340590229</v>
      </c>
      <c r="L47" s="43">
        <f t="shared" si="0"/>
        <v>8.079838465211682E-2</v>
      </c>
    </row>
    <row r="48" spans="1:12" ht="20.100000000000001" customHeight="1">
      <c r="A48" s="33" t="s">
        <v>104</v>
      </c>
      <c r="B48" s="63" t="s">
        <v>105</v>
      </c>
      <c r="C48" s="64"/>
      <c r="D48" s="35">
        <f>+'表1的附件数据（五~十项的）'!D3+'表1的附件数据（五~十项的）'!D8+'表1的附件数据（五~十项的）'!D13+'表1的附件数据（五~十项的）'!D19+'表1的附件数据（五~十项的）'!D25+'表1的附件数据（五~十项的）'!D32+'表1的附件数据（五~十项的）'!D34+'表1的附件数据（五~十项的）'!D38</f>
        <v>448518.55000000005</v>
      </c>
      <c r="E48" s="35">
        <f>+'表1的附件数据（五~十项的）'!D4+'表1的附件数据（五~十项的）'!D9+'表1的附件数据（五~十项的）'!D14+'表1的附件数据（五~十项的）'!D20+'表1的附件数据（五~十项的）'!D26+'表1的附件数据（五~十项的）'!D29+'表1的附件数据（五~十项的）'!D35+'表1的附件数据（五~十项的）'!D39</f>
        <v>1174735.9500000002</v>
      </c>
      <c r="F48" s="35">
        <f>+'表1的附件数据（五~十项的）'!D5+'表1的附件数据（五~十项的）'!D10+'表1的附件数据（五~十项的）'!D15+'表1的附件数据（五~十项的）'!D21+'表1的附件数据（五~十项的）'!D27+'表1的附件数据（五~十项的）'!D30+'表1的附件数据（五~十项的）'!D36+'表1的附件数据（五~十项的）'!D40</f>
        <v>1163126.18</v>
      </c>
      <c r="G48" s="35">
        <f>+'表1的附件数据（五~十项的）'!D6+'表1的附件数据（五~十项的）'!D11+'表1的附件数据（五~十项的）'!D16+'表1的附件数据（五~十项的）'!D22</f>
        <v>29122.29</v>
      </c>
      <c r="H48" s="35">
        <f>+'表1的附件数据（五~十项的）'!D17+'表1的附件数据（五~十项的）'!D23</f>
        <v>15708.05</v>
      </c>
      <c r="I48" s="65">
        <f t="shared" si="4"/>
        <v>2831211.02</v>
      </c>
      <c r="J48" s="66"/>
      <c r="K48" s="37">
        <f t="shared" si="5"/>
        <v>51.204482002450618</v>
      </c>
      <c r="L48" s="38">
        <f t="shared" si="0"/>
        <v>1.040755037118693E-2</v>
      </c>
    </row>
    <row r="49" spans="1:12" ht="35.1" customHeight="1">
      <c r="A49" s="33" t="s">
        <v>106</v>
      </c>
      <c r="B49" s="63" t="s">
        <v>117</v>
      </c>
      <c r="C49" s="64"/>
      <c r="D49" s="35">
        <f>D8+D22+D29+D36+D45+D48</f>
        <v>41051939.979999997</v>
      </c>
      <c r="E49" s="35">
        <f>E8+E22+E29+E36+E45+E48</f>
        <v>102658701.73</v>
      </c>
      <c r="F49" s="35">
        <f>F8+F22+F29+F36+F45+F48</f>
        <v>103004915.16000001</v>
      </c>
      <c r="G49" s="35">
        <f>G8+G22+G29+G36+G45+G48</f>
        <v>2173443.6</v>
      </c>
      <c r="H49" s="35">
        <f>H8+H22+H29+H36+H45+H48</f>
        <v>683781.8</v>
      </c>
      <c r="I49" s="65">
        <f>SUM(D49:H49)</f>
        <v>249572782.27000001</v>
      </c>
      <c r="J49" s="66"/>
      <c r="K49" s="37">
        <f>I49/55292.25</f>
        <v>4513.7027751628848</v>
      </c>
      <c r="L49" s="38"/>
    </row>
    <row r="50" spans="1:12" ht="20.100000000000001" customHeight="1">
      <c r="A50" s="33" t="s">
        <v>107</v>
      </c>
      <c r="B50" s="63" t="s">
        <v>108</v>
      </c>
      <c r="C50" s="64"/>
      <c r="D50" s="35">
        <f>0.09*D49</f>
        <v>3694674.5981999994</v>
      </c>
      <c r="E50" s="35">
        <f>0.09*E49</f>
        <v>9239283.1557</v>
      </c>
      <c r="F50" s="35">
        <f>0.09*F49</f>
        <v>9270442.3644000012</v>
      </c>
      <c r="G50" s="35">
        <f>0.09*G49</f>
        <v>195609.924</v>
      </c>
      <c r="H50" s="35">
        <f>0.09*H49</f>
        <v>61540.362000000001</v>
      </c>
      <c r="I50" s="65">
        <f>SUM(D50:H50)</f>
        <v>22461550.404299997</v>
      </c>
      <c r="J50" s="66"/>
      <c r="K50" s="37">
        <f>I50/55292.25</f>
        <v>406.23324976465955</v>
      </c>
      <c r="L50" s="38">
        <f>I50/I51</f>
        <v>8.2568807339449518E-2</v>
      </c>
    </row>
    <row r="51" spans="1:12" ht="20.100000000000001" customHeight="1">
      <c r="A51" s="33" t="s">
        <v>109</v>
      </c>
      <c r="B51" s="63" t="s">
        <v>110</v>
      </c>
      <c r="C51" s="64"/>
      <c r="D51" s="35">
        <f>D49+D50</f>
        <v>44746614.578199998</v>
      </c>
      <c r="E51" s="35">
        <f>E49+E50</f>
        <v>111897984.8857</v>
      </c>
      <c r="F51" s="35">
        <f t="shared" ref="F51:G51" si="6">F49+F50</f>
        <v>112275357.52440001</v>
      </c>
      <c r="G51" s="35">
        <f t="shared" si="6"/>
        <v>2369053.5240000002</v>
      </c>
      <c r="H51" s="35">
        <f>H49+H50</f>
        <v>745322.16200000001</v>
      </c>
      <c r="I51" s="65">
        <f>SUM(D51:H51)</f>
        <v>272034332.67430001</v>
      </c>
      <c r="J51" s="66"/>
      <c r="K51" s="37">
        <f>I51/55292.25</f>
        <v>4919.9360249275442</v>
      </c>
      <c r="L51" s="38">
        <f>I51/I51</f>
        <v>1</v>
      </c>
    </row>
    <row r="52" spans="1:12" ht="20.100000000000001" customHeight="1">
      <c r="A52" s="33" t="s">
        <v>111</v>
      </c>
      <c r="B52" s="63" t="s">
        <v>112</v>
      </c>
      <c r="C52" s="64"/>
      <c r="D52" s="35">
        <v>6137267.7300000004</v>
      </c>
      <c r="E52" s="35">
        <v>19640923.559999999</v>
      </c>
      <c r="F52" s="35">
        <v>19822051.609999999</v>
      </c>
      <c r="G52" s="35">
        <v>499880.13</v>
      </c>
      <c r="H52" s="35">
        <v>111445.73</v>
      </c>
      <c r="I52" s="65">
        <f>SUM(D52:H52)</f>
        <v>46211568.759999998</v>
      </c>
      <c r="J52" s="66"/>
      <c r="K52" s="37">
        <f>I52/55292.25</f>
        <v>835.76936659296734</v>
      </c>
      <c r="L52" s="38">
        <f>I52/I51</f>
        <v>0.16987403136106341</v>
      </c>
    </row>
    <row r="53" spans="1:12" ht="30" customHeight="1">
      <c r="A53" s="72" t="s">
        <v>208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>
      <c r="K54" s="46"/>
    </row>
    <row r="55" spans="1:12">
      <c r="D55" s="56"/>
    </row>
  </sheetData>
  <mergeCells count="99">
    <mergeCell ref="I11:J11"/>
    <mergeCell ref="B12:C12"/>
    <mergeCell ref="A53:L53"/>
    <mergeCell ref="A2:L2"/>
    <mergeCell ref="A3:L3"/>
    <mergeCell ref="A4:L4"/>
    <mergeCell ref="A5:L5"/>
    <mergeCell ref="B6:C6"/>
    <mergeCell ref="I6:J6"/>
    <mergeCell ref="A7:C7"/>
    <mergeCell ref="I7:J7"/>
    <mergeCell ref="B8:C8"/>
    <mergeCell ref="I8:J8"/>
    <mergeCell ref="B9:C9"/>
    <mergeCell ref="I9:J9"/>
    <mergeCell ref="B10:C10"/>
    <mergeCell ref="I10:J10"/>
    <mergeCell ref="B11:C11"/>
    <mergeCell ref="B20:C20"/>
    <mergeCell ref="I20:J20"/>
    <mergeCell ref="B21:C21"/>
    <mergeCell ref="I21:J21"/>
    <mergeCell ref="I12:J12"/>
    <mergeCell ref="B13:C13"/>
    <mergeCell ref="I13:J13"/>
    <mergeCell ref="B14:C14"/>
    <mergeCell ref="I14:J14"/>
    <mergeCell ref="B15:C15"/>
    <mergeCell ref="I15:J15"/>
    <mergeCell ref="B16:C16"/>
    <mergeCell ref="I16:J16"/>
    <mergeCell ref="B17:C17"/>
    <mergeCell ref="I17:J17"/>
    <mergeCell ref="B18:C18"/>
    <mergeCell ref="I18:J18"/>
    <mergeCell ref="B19:C19"/>
    <mergeCell ref="I19:J19"/>
    <mergeCell ref="B30:C30"/>
    <mergeCell ref="I30:J30"/>
    <mergeCell ref="B31:C31"/>
    <mergeCell ref="I31:J3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40:C40"/>
    <mergeCell ref="I40:J40"/>
    <mergeCell ref="B41:C41"/>
    <mergeCell ref="I41:J41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  <mergeCell ref="B38:C38"/>
    <mergeCell ref="I38:J38"/>
    <mergeCell ref="B39:C39"/>
    <mergeCell ref="I39:J39"/>
    <mergeCell ref="B42:C42"/>
    <mergeCell ref="I42:J42"/>
    <mergeCell ref="B43:C43"/>
    <mergeCell ref="I43:J43"/>
    <mergeCell ref="B44:C44"/>
    <mergeCell ref="I44:J44"/>
    <mergeCell ref="B52:C52"/>
    <mergeCell ref="I52:J52"/>
    <mergeCell ref="B45:C45"/>
    <mergeCell ref="I45:J45"/>
    <mergeCell ref="B46:C46"/>
    <mergeCell ref="I46:J46"/>
    <mergeCell ref="B47:C47"/>
    <mergeCell ref="I47:J47"/>
    <mergeCell ref="B48:C48"/>
    <mergeCell ref="I48:J48"/>
    <mergeCell ref="B49:C49"/>
    <mergeCell ref="I49:J49"/>
    <mergeCell ref="B50:C50"/>
    <mergeCell ref="I50:J50"/>
    <mergeCell ref="B51:C51"/>
    <mergeCell ref="I51:J51"/>
  </mergeCells>
  <phoneticPr fontId="1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7" orientation="portrait" r:id="rId1"/>
  <headerFooter>
    <oddFooter>&amp;L制表单位：东莞市建设工程造价管理站&amp;C第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H52" sqref="H52"/>
    </sheetView>
  </sheetViews>
  <sheetFormatPr defaultColWidth="9" defaultRowHeight="13.5"/>
  <cols>
    <col min="1" max="1" width="6" customWidth="1"/>
    <col min="2" max="2" width="9.75" customWidth="1"/>
    <col min="3" max="5" width="13.125" customWidth="1"/>
    <col min="6" max="6" width="10" customWidth="1"/>
    <col min="7" max="7" width="12.375" customWidth="1"/>
    <col min="8" max="8" width="18.375" customWidth="1"/>
    <col min="9" max="9" width="16.5" customWidth="1"/>
  </cols>
  <sheetData>
    <row r="1" spans="1:9" ht="43.5" customHeight="1">
      <c r="A1" s="109" t="s">
        <v>19</v>
      </c>
      <c r="B1" s="109"/>
      <c r="C1" s="109"/>
      <c r="D1" s="109"/>
      <c r="E1" s="109"/>
      <c r="F1" s="109"/>
      <c r="G1" s="109"/>
      <c r="H1" s="109"/>
      <c r="I1" s="109"/>
    </row>
    <row r="2" spans="1:9" ht="19.5" customHeight="1">
      <c r="A2" s="110" t="s">
        <v>20</v>
      </c>
      <c r="B2" s="110"/>
      <c r="C2" s="110"/>
      <c r="D2" s="110"/>
      <c r="E2" s="110"/>
      <c r="F2" s="110"/>
      <c r="G2" s="110"/>
      <c r="H2" s="110"/>
      <c r="I2" s="110"/>
    </row>
    <row r="3" spans="1:9" ht="24" customHeight="1">
      <c r="A3" s="100" t="s">
        <v>3</v>
      </c>
      <c r="B3" s="100"/>
      <c r="C3" s="100"/>
      <c r="D3" s="100"/>
      <c r="E3" s="100"/>
      <c r="F3" s="100"/>
      <c r="G3" s="100"/>
      <c r="H3" s="100"/>
      <c r="I3" s="100"/>
    </row>
    <row r="4" spans="1:9" ht="24" customHeight="1">
      <c r="A4" s="100" t="s">
        <v>4</v>
      </c>
      <c r="B4" s="100"/>
      <c r="C4" s="100"/>
      <c r="D4" s="100"/>
      <c r="E4" s="100"/>
      <c r="F4" s="100"/>
      <c r="G4" s="100"/>
      <c r="H4" s="100"/>
      <c r="I4" s="100"/>
    </row>
    <row r="5" spans="1:9" ht="24" customHeight="1">
      <c r="A5" s="100" t="s">
        <v>5</v>
      </c>
      <c r="B5" s="100"/>
      <c r="C5" s="101" t="s">
        <v>21</v>
      </c>
      <c r="D5" s="102"/>
      <c r="E5" s="102"/>
      <c r="F5" s="102"/>
      <c r="G5" s="102"/>
      <c r="H5" s="102"/>
      <c r="I5" s="103"/>
    </row>
    <row r="6" spans="1:9" ht="113.25" customHeight="1">
      <c r="A6" s="104" t="s">
        <v>22</v>
      </c>
      <c r="B6" s="105"/>
      <c r="C6" s="105"/>
      <c r="D6" s="105"/>
      <c r="E6" s="105"/>
      <c r="F6" s="105"/>
      <c r="G6" s="105"/>
      <c r="H6" s="105"/>
      <c r="I6" s="106"/>
    </row>
    <row r="7" spans="1:9" ht="21" customHeight="1">
      <c r="A7" s="107" t="s">
        <v>6</v>
      </c>
      <c r="B7" s="107"/>
      <c r="C7" s="107"/>
      <c r="D7" s="107"/>
      <c r="E7" s="107"/>
      <c r="F7" s="107"/>
      <c r="G7" s="107"/>
      <c r="H7" s="107"/>
      <c r="I7" s="107"/>
    </row>
    <row r="8" spans="1:9" ht="29.25" customHeight="1">
      <c r="A8" s="26" t="s">
        <v>7</v>
      </c>
      <c r="B8" s="108" t="s">
        <v>8</v>
      </c>
      <c r="C8" s="108"/>
      <c r="D8" s="25" t="s">
        <v>23</v>
      </c>
      <c r="E8" s="25" t="s">
        <v>24</v>
      </c>
      <c r="F8" s="87" t="s">
        <v>25</v>
      </c>
      <c r="G8" s="88"/>
      <c r="H8" s="27" t="s">
        <v>9</v>
      </c>
      <c r="I8" s="27" t="s">
        <v>10</v>
      </c>
    </row>
    <row r="9" spans="1:9" ht="18" customHeight="1">
      <c r="A9" s="26">
        <v>1</v>
      </c>
      <c r="B9" s="96" t="s">
        <v>26</v>
      </c>
      <c r="C9" s="97"/>
      <c r="D9" s="28"/>
      <c r="E9" s="28"/>
      <c r="F9" s="87">
        <f>E9+D9</f>
        <v>0</v>
      </c>
      <c r="G9" s="88"/>
      <c r="H9" s="27"/>
      <c r="I9" s="27"/>
    </row>
    <row r="10" spans="1:9" ht="18" customHeight="1">
      <c r="A10" s="29">
        <v>1.1000000000000001</v>
      </c>
      <c r="B10" s="98" t="s">
        <v>27</v>
      </c>
      <c r="C10" s="99"/>
      <c r="D10" s="28"/>
      <c r="E10" s="28"/>
      <c r="F10" s="87">
        <f t="shared" ref="F10:F29" si="0">E10+D10</f>
        <v>0</v>
      </c>
      <c r="G10" s="88"/>
      <c r="H10" s="27"/>
      <c r="I10" s="27"/>
    </row>
    <row r="11" spans="1:9" ht="18" customHeight="1">
      <c r="A11" s="29">
        <v>1.2</v>
      </c>
      <c r="B11" s="90" t="s">
        <v>28</v>
      </c>
      <c r="C11" s="91"/>
      <c r="D11" s="28"/>
      <c r="E11" s="28"/>
      <c r="F11" s="87">
        <f t="shared" si="0"/>
        <v>0</v>
      </c>
      <c r="G11" s="88"/>
      <c r="H11" s="30"/>
      <c r="I11" s="30"/>
    </row>
    <row r="12" spans="1:9" ht="18" customHeight="1">
      <c r="A12" s="29">
        <v>1.3</v>
      </c>
      <c r="B12" s="90" t="s">
        <v>29</v>
      </c>
      <c r="C12" s="91"/>
      <c r="D12" s="28"/>
      <c r="E12" s="28"/>
      <c r="F12" s="87">
        <f t="shared" si="0"/>
        <v>0</v>
      </c>
      <c r="G12" s="88"/>
      <c r="H12" s="30"/>
      <c r="I12" s="30"/>
    </row>
    <row r="13" spans="1:9" ht="18" customHeight="1">
      <c r="A13" s="29">
        <v>1.4</v>
      </c>
      <c r="B13" s="90" t="s">
        <v>30</v>
      </c>
      <c r="C13" s="91"/>
      <c r="D13" s="28"/>
      <c r="E13" s="28"/>
      <c r="F13" s="87">
        <f t="shared" si="0"/>
        <v>0</v>
      </c>
      <c r="G13" s="88"/>
      <c r="H13" s="30"/>
      <c r="I13" s="30"/>
    </row>
    <row r="14" spans="1:9" ht="18" customHeight="1">
      <c r="A14" s="29">
        <v>1.5</v>
      </c>
      <c r="B14" s="90" t="s">
        <v>31</v>
      </c>
      <c r="C14" s="91"/>
      <c r="D14" s="28"/>
      <c r="E14" s="28"/>
      <c r="F14" s="87">
        <f t="shared" si="0"/>
        <v>0</v>
      </c>
      <c r="G14" s="88"/>
      <c r="H14" s="30"/>
      <c r="I14" s="30"/>
    </row>
    <row r="15" spans="1:9" ht="18" customHeight="1">
      <c r="A15" s="29">
        <v>1.6</v>
      </c>
      <c r="B15" s="90" t="s">
        <v>32</v>
      </c>
      <c r="C15" s="91"/>
      <c r="D15" s="28"/>
      <c r="E15" s="28"/>
      <c r="F15" s="87">
        <f t="shared" si="0"/>
        <v>0</v>
      </c>
      <c r="G15" s="88"/>
      <c r="H15" s="30"/>
      <c r="I15" s="30"/>
    </row>
    <row r="16" spans="1:9" ht="18" customHeight="1">
      <c r="A16" s="29">
        <v>1.7</v>
      </c>
      <c r="B16" s="90" t="s">
        <v>11</v>
      </c>
      <c r="C16" s="91"/>
      <c r="D16" s="28"/>
      <c r="E16" s="28"/>
      <c r="F16" s="87">
        <f t="shared" si="0"/>
        <v>0</v>
      </c>
      <c r="G16" s="88"/>
      <c r="H16" s="30"/>
      <c r="I16" s="30"/>
    </row>
    <row r="17" spans="1:9" ht="18" customHeight="1">
      <c r="A17" s="29">
        <v>1.8</v>
      </c>
      <c r="B17" s="90" t="s">
        <v>33</v>
      </c>
      <c r="C17" s="91"/>
      <c r="D17" s="28"/>
      <c r="E17" s="28"/>
      <c r="F17" s="87">
        <f t="shared" si="0"/>
        <v>0</v>
      </c>
      <c r="G17" s="88"/>
      <c r="H17" s="30"/>
      <c r="I17" s="30"/>
    </row>
    <row r="18" spans="1:9" ht="27.75" customHeight="1">
      <c r="A18" s="29">
        <v>1.9</v>
      </c>
      <c r="B18" s="94" t="s">
        <v>34</v>
      </c>
      <c r="C18" s="94"/>
      <c r="D18" s="28"/>
      <c r="E18" s="28"/>
      <c r="F18" s="87">
        <f t="shared" si="0"/>
        <v>0</v>
      </c>
      <c r="G18" s="88"/>
      <c r="H18" s="30"/>
      <c r="I18" s="30"/>
    </row>
    <row r="19" spans="1:9" ht="18" customHeight="1">
      <c r="A19" s="29"/>
      <c r="B19" s="95"/>
      <c r="C19" s="95"/>
      <c r="D19" s="28"/>
      <c r="E19" s="28"/>
      <c r="F19" s="87">
        <f t="shared" si="0"/>
        <v>0</v>
      </c>
      <c r="G19" s="88"/>
      <c r="H19" s="30"/>
      <c r="I19" s="30"/>
    </row>
    <row r="20" spans="1:9" ht="18" customHeight="1">
      <c r="A20" s="29"/>
      <c r="B20" s="95"/>
      <c r="C20" s="95"/>
      <c r="D20" s="28"/>
      <c r="E20" s="28"/>
      <c r="F20" s="87">
        <f t="shared" si="0"/>
        <v>0</v>
      </c>
      <c r="G20" s="88"/>
      <c r="H20" s="30"/>
      <c r="I20" s="30"/>
    </row>
    <row r="21" spans="1:9" ht="18" customHeight="1">
      <c r="A21" s="26">
        <v>2</v>
      </c>
      <c r="B21" s="89" t="s">
        <v>12</v>
      </c>
      <c r="C21" s="89"/>
      <c r="D21" s="28"/>
      <c r="E21" s="28"/>
      <c r="F21" s="87">
        <f t="shared" si="0"/>
        <v>0</v>
      </c>
      <c r="G21" s="88"/>
      <c r="H21" s="30"/>
      <c r="I21" s="30"/>
    </row>
    <row r="22" spans="1:9" ht="18" customHeight="1">
      <c r="A22" s="29">
        <v>2.1</v>
      </c>
      <c r="B22" s="90" t="s">
        <v>13</v>
      </c>
      <c r="C22" s="91"/>
      <c r="D22" s="28"/>
      <c r="E22" s="28"/>
      <c r="F22" s="87">
        <f t="shared" si="0"/>
        <v>0</v>
      </c>
      <c r="G22" s="88"/>
      <c r="H22" s="30"/>
      <c r="I22" s="30"/>
    </row>
    <row r="23" spans="1:9" ht="18" customHeight="1">
      <c r="A23" s="29">
        <v>2.2000000000000002</v>
      </c>
      <c r="B23" s="90" t="s">
        <v>14</v>
      </c>
      <c r="C23" s="91"/>
      <c r="D23" s="28"/>
      <c r="E23" s="28"/>
      <c r="F23" s="87">
        <f t="shared" si="0"/>
        <v>0</v>
      </c>
      <c r="G23" s="88"/>
      <c r="H23" s="30"/>
      <c r="I23" s="30"/>
    </row>
    <row r="24" spans="1:9" ht="18" customHeight="1">
      <c r="A24" s="26">
        <v>3</v>
      </c>
      <c r="B24" s="89" t="s">
        <v>15</v>
      </c>
      <c r="C24" s="89"/>
      <c r="D24" s="28"/>
      <c r="E24" s="28"/>
      <c r="F24" s="87">
        <f t="shared" si="0"/>
        <v>0</v>
      </c>
      <c r="G24" s="88"/>
      <c r="H24" s="30"/>
      <c r="I24" s="30"/>
    </row>
    <row r="25" spans="1:9" ht="18" customHeight="1">
      <c r="A25" s="26">
        <v>4</v>
      </c>
      <c r="B25" s="89" t="s">
        <v>35</v>
      </c>
      <c r="C25" s="89"/>
      <c r="D25" s="28"/>
      <c r="E25" s="28"/>
      <c r="F25" s="87">
        <f t="shared" si="0"/>
        <v>0</v>
      </c>
      <c r="G25" s="88"/>
      <c r="H25" s="30"/>
      <c r="I25" s="30"/>
    </row>
    <row r="26" spans="1:9" ht="30.75" customHeight="1">
      <c r="A26" s="26">
        <v>5</v>
      </c>
      <c r="B26" s="92" t="s">
        <v>36</v>
      </c>
      <c r="C26" s="93"/>
      <c r="D26" s="28"/>
      <c r="E26" s="28"/>
      <c r="F26" s="87">
        <f t="shared" si="0"/>
        <v>0</v>
      </c>
      <c r="G26" s="88"/>
      <c r="H26" s="30"/>
      <c r="I26" s="30"/>
    </row>
    <row r="27" spans="1:9" ht="18" customHeight="1">
      <c r="A27" s="26">
        <v>6</v>
      </c>
      <c r="B27" s="89" t="s">
        <v>16</v>
      </c>
      <c r="C27" s="89"/>
      <c r="D27" s="28"/>
      <c r="E27" s="28"/>
      <c r="F27" s="87">
        <f t="shared" si="0"/>
        <v>0</v>
      </c>
      <c r="G27" s="88"/>
      <c r="H27" s="30"/>
      <c r="I27" s="30"/>
    </row>
    <row r="28" spans="1:9" ht="32.25" customHeight="1">
      <c r="A28" s="26">
        <v>7</v>
      </c>
      <c r="B28" s="89" t="s">
        <v>37</v>
      </c>
      <c r="C28" s="89"/>
      <c r="D28" s="28"/>
      <c r="E28" s="28"/>
      <c r="F28" s="87">
        <f t="shared" si="0"/>
        <v>0</v>
      </c>
      <c r="G28" s="88"/>
      <c r="H28" s="30"/>
      <c r="I28" s="30"/>
    </row>
    <row r="29" spans="1:9" ht="18" customHeight="1">
      <c r="A29" s="31">
        <v>8</v>
      </c>
      <c r="B29" s="90" t="s">
        <v>18</v>
      </c>
      <c r="C29" s="91"/>
      <c r="D29" s="28"/>
      <c r="E29" s="28"/>
      <c r="F29" s="87">
        <f t="shared" si="0"/>
        <v>0</v>
      </c>
      <c r="G29" s="88"/>
      <c r="H29" s="87"/>
      <c r="I29" s="88"/>
    </row>
  </sheetData>
  <mergeCells count="55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A7:I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H29:I29"/>
    <mergeCell ref="B27:C27"/>
    <mergeCell ref="F27:G27"/>
    <mergeCell ref="B28:C28"/>
    <mergeCell ref="F28:G28"/>
    <mergeCell ref="B29:C29"/>
    <mergeCell ref="F29:G29"/>
  </mergeCells>
  <phoneticPr fontId="1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>
    <oddFooter>&amp;L&amp;10制表单位：东莞市建设工程造价管理站&amp;11
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7"/>
  <sheetViews>
    <sheetView tabSelected="1" view="pageBreakPreview" zoomScaleNormal="100" zoomScaleSheetLayoutView="100" workbookViewId="0">
      <selection activeCell="B21" sqref="B21"/>
    </sheetView>
  </sheetViews>
  <sheetFormatPr defaultColWidth="9" defaultRowHeight="13.5"/>
  <cols>
    <col min="1" max="1" width="9.875" customWidth="1"/>
    <col min="2" max="2" width="30.625" customWidth="1"/>
    <col min="3" max="3" width="17" customWidth="1"/>
    <col min="4" max="8" width="17" hidden="1" customWidth="1"/>
    <col min="9" max="10" width="17.875" customWidth="1"/>
  </cols>
  <sheetData>
    <row r="1" spans="1:10" ht="33" customHeight="1">
      <c r="A1" s="111" t="s">
        <v>213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31.5" customHeight="1">
      <c r="A2" s="112" t="s">
        <v>212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28.5" customHeight="1">
      <c r="A3" s="114" t="s">
        <v>209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31.5" customHeight="1">
      <c r="A4" s="47" t="s">
        <v>151</v>
      </c>
      <c r="B4" s="47" t="s">
        <v>152</v>
      </c>
      <c r="C4" s="47" t="s">
        <v>153</v>
      </c>
      <c r="D4" s="34" t="s">
        <v>89</v>
      </c>
      <c r="E4" s="34" t="s">
        <v>90</v>
      </c>
      <c r="F4" s="34" t="s">
        <v>91</v>
      </c>
      <c r="G4" s="34" t="s">
        <v>92</v>
      </c>
      <c r="H4" s="34" t="s">
        <v>93</v>
      </c>
      <c r="I4" s="47" t="s">
        <v>154</v>
      </c>
      <c r="J4" s="48" t="s">
        <v>155</v>
      </c>
    </row>
    <row r="5" spans="1:10" ht="24" customHeight="1">
      <c r="A5" s="47">
        <v>1</v>
      </c>
      <c r="B5" s="49" t="s">
        <v>156</v>
      </c>
      <c r="C5" s="47" t="s">
        <v>38</v>
      </c>
      <c r="D5" s="47">
        <f>20.9508+2.548+500.8652+6.1808+5.7839+432.3719+3.4262+669.63</f>
        <v>1641.7568000000001</v>
      </c>
      <c r="E5" s="50">
        <v>951.09</v>
      </c>
      <c r="F5" s="50">
        <v>953.26800000000003</v>
      </c>
      <c r="G5" s="47">
        <v>65.706000000000003</v>
      </c>
      <c r="H5" s="50"/>
      <c r="I5" s="50">
        <f>SUM(D5:H5)</f>
        <v>3611.8208000000004</v>
      </c>
      <c r="J5" s="51">
        <f>I5/55292.25</f>
        <v>6.532236977153219E-2</v>
      </c>
    </row>
    <row r="6" spans="1:10" ht="24" customHeight="1">
      <c r="A6" s="47">
        <v>2</v>
      </c>
      <c r="B6" s="49" t="s">
        <v>157</v>
      </c>
      <c r="C6" s="47" t="s">
        <v>150</v>
      </c>
      <c r="D6" s="47">
        <v>16790.62</v>
      </c>
      <c r="E6" s="50">
        <v>8167.3307000000004</v>
      </c>
      <c r="F6" s="50">
        <v>8151.91</v>
      </c>
      <c r="G6" s="47">
        <v>587.94000000000005</v>
      </c>
      <c r="H6" s="50"/>
      <c r="I6" s="50">
        <f t="shared" ref="I6:I37" si="0">SUM(D6:H6)</f>
        <v>33697.800700000007</v>
      </c>
      <c r="J6" s="51">
        <f t="shared" ref="J6:J20" si="1">I6/55292.25</f>
        <v>0.60944889564089011</v>
      </c>
    </row>
    <row r="7" spans="1:10" ht="24" customHeight="1">
      <c r="A7" s="47">
        <v>3</v>
      </c>
      <c r="B7" s="49" t="s">
        <v>158</v>
      </c>
      <c r="C7" s="47" t="s">
        <v>38</v>
      </c>
      <c r="D7" s="47">
        <v>60.454999999999998</v>
      </c>
      <c r="E7" s="50">
        <f>65.4+48.28+1.33</f>
        <v>115.01</v>
      </c>
      <c r="F7" s="50">
        <f>E7*0.998</f>
        <v>114.77998000000001</v>
      </c>
      <c r="G7" s="47">
        <v>4.6900000000000004</v>
      </c>
      <c r="H7" s="50"/>
      <c r="I7" s="50">
        <f t="shared" si="0"/>
        <v>294.93498</v>
      </c>
      <c r="J7" s="51">
        <f t="shared" si="1"/>
        <v>5.3341106574610365E-3</v>
      </c>
    </row>
    <row r="8" spans="1:10" ht="24" customHeight="1">
      <c r="A8" s="47">
        <v>4</v>
      </c>
      <c r="B8" s="49" t="s">
        <v>159</v>
      </c>
      <c r="C8" s="47" t="s">
        <v>38</v>
      </c>
      <c r="D8" s="47">
        <v>2.0994999999999999</v>
      </c>
      <c r="E8" s="50"/>
      <c r="F8" s="50"/>
      <c r="G8" s="47"/>
      <c r="H8" s="50"/>
      <c r="I8" s="50">
        <f t="shared" si="0"/>
        <v>2.0994999999999999</v>
      </c>
      <c r="J8" s="52">
        <f t="shared" si="1"/>
        <v>3.7970963380943979E-5</v>
      </c>
    </row>
    <row r="9" spans="1:10" ht="24" customHeight="1">
      <c r="A9" s="47">
        <v>5</v>
      </c>
      <c r="B9" s="49" t="s">
        <v>160</v>
      </c>
      <c r="C9" s="47" t="s">
        <v>150</v>
      </c>
      <c r="D9" s="47">
        <v>633.72</v>
      </c>
      <c r="E9" s="50">
        <v>2476.63</v>
      </c>
      <c r="F9" s="50">
        <f t="shared" ref="F9:F20" si="2">E9*0.998</f>
        <v>2471.6767399999999</v>
      </c>
      <c r="G9" s="47">
        <v>51.37</v>
      </c>
      <c r="H9" s="50"/>
      <c r="I9" s="50">
        <f t="shared" si="0"/>
        <v>5633.3967400000001</v>
      </c>
      <c r="J9" s="51">
        <f t="shared" si="1"/>
        <v>0.10188402063580339</v>
      </c>
    </row>
    <row r="10" spans="1:10" ht="24" customHeight="1">
      <c r="A10" s="47">
        <v>6</v>
      </c>
      <c r="B10" s="49" t="s">
        <v>161</v>
      </c>
      <c r="C10" s="47" t="s">
        <v>150</v>
      </c>
      <c r="D10" s="47"/>
      <c r="E10" s="50">
        <v>86.42</v>
      </c>
      <c r="F10" s="50">
        <f t="shared" si="2"/>
        <v>86.247160000000008</v>
      </c>
      <c r="G10" s="47"/>
      <c r="H10" s="50"/>
      <c r="I10" s="50">
        <f t="shared" si="0"/>
        <v>172.66716000000002</v>
      </c>
      <c r="J10" s="51">
        <f t="shared" si="1"/>
        <v>3.1228094353186932E-3</v>
      </c>
    </row>
    <row r="11" spans="1:10" ht="24" customHeight="1">
      <c r="A11" s="47">
        <v>7</v>
      </c>
      <c r="B11" s="49" t="s">
        <v>162</v>
      </c>
      <c r="C11" s="47" t="s">
        <v>150</v>
      </c>
      <c r="D11" s="47">
        <v>275.93</v>
      </c>
      <c r="E11" s="50">
        <f>4.4408+34.82+16.05</f>
        <v>55.3108</v>
      </c>
      <c r="F11" s="50">
        <f t="shared" si="2"/>
        <v>55.200178399999999</v>
      </c>
      <c r="G11" s="47">
        <v>0.1139</v>
      </c>
      <c r="H11" s="50"/>
      <c r="I11" s="50">
        <f t="shared" si="0"/>
        <v>386.55487840000006</v>
      </c>
      <c r="J11" s="51">
        <f t="shared" si="1"/>
        <v>6.9911222350329399E-3</v>
      </c>
    </row>
    <row r="12" spans="1:10" ht="24" customHeight="1">
      <c r="A12" s="47">
        <v>8</v>
      </c>
      <c r="B12" s="49" t="s">
        <v>163</v>
      </c>
      <c r="C12" s="47" t="s">
        <v>39</v>
      </c>
      <c r="D12" s="47">
        <f>103.3639+4943.2331+3424.6356+426.5872+8401.8188</f>
        <v>17299.638599999998</v>
      </c>
      <c r="E12" s="50">
        <v>17247.330000000002</v>
      </c>
      <c r="F12" s="50">
        <f t="shared" si="2"/>
        <v>17212.835340000001</v>
      </c>
      <c r="G12" s="47">
        <v>2349.7811000000002</v>
      </c>
      <c r="H12" s="50"/>
      <c r="I12" s="50">
        <f t="shared" si="0"/>
        <v>54109.585039999998</v>
      </c>
      <c r="J12" s="51">
        <f t="shared" si="1"/>
        <v>0.97861065592375063</v>
      </c>
    </row>
    <row r="13" spans="1:10" ht="24" customHeight="1">
      <c r="A13" s="47">
        <v>9</v>
      </c>
      <c r="B13" s="49" t="s">
        <v>164</v>
      </c>
      <c r="C13" s="47" t="s">
        <v>40</v>
      </c>
      <c r="D13" s="47"/>
      <c r="E13" s="50">
        <v>10469.1908</v>
      </c>
      <c r="F13" s="50">
        <f t="shared" si="2"/>
        <v>10448.252418399999</v>
      </c>
      <c r="G13" s="47"/>
      <c r="H13" s="50"/>
      <c r="I13" s="50">
        <f t="shared" si="0"/>
        <v>20917.4432184</v>
      </c>
      <c r="J13" s="51">
        <f t="shared" si="1"/>
        <v>0.37830696378606404</v>
      </c>
    </row>
    <row r="14" spans="1:10" ht="24" customHeight="1">
      <c r="A14" s="47">
        <v>10</v>
      </c>
      <c r="B14" s="49" t="s">
        <v>165</v>
      </c>
      <c r="C14" s="47" t="s">
        <v>40</v>
      </c>
      <c r="D14" s="47"/>
      <c r="E14" s="50">
        <f>1838.9052+3353.34</f>
        <v>5192.2452000000003</v>
      </c>
      <c r="F14" s="50">
        <f t="shared" si="2"/>
        <v>5181.8607096000005</v>
      </c>
      <c r="G14" s="47"/>
      <c r="H14" s="50"/>
      <c r="I14" s="50">
        <f t="shared" si="0"/>
        <v>10374.105909600001</v>
      </c>
      <c r="J14" s="51">
        <f t="shared" si="1"/>
        <v>0.18762314627456833</v>
      </c>
    </row>
    <row r="15" spans="1:10" ht="24" customHeight="1">
      <c r="A15" s="47">
        <v>11</v>
      </c>
      <c r="B15" s="49" t="s">
        <v>166</v>
      </c>
      <c r="C15" s="47" t="s">
        <v>40</v>
      </c>
      <c r="D15" s="47">
        <v>132.44030000000001</v>
      </c>
      <c r="E15" s="50">
        <f>268.1216+3376.41</f>
        <v>3644.5315999999998</v>
      </c>
      <c r="F15" s="50">
        <f t="shared" si="2"/>
        <v>3637.2425367999999</v>
      </c>
      <c r="G15" s="47">
        <v>25.83</v>
      </c>
      <c r="H15" s="50"/>
      <c r="I15" s="50">
        <f t="shared" si="0"/>
        <v>7440.0444367999999</v>
      </c>
      <c r="J15" s="51">
        <f t="shared" si="1"/>
        <v>0.13455854006302873</v>
      </c>
    </row>
    <row r="16" spans="1:10" ht="24" customHeight="1">
      <c r="A16" s="47">
        <v>12</v>
      </c>
      <c r="B16" s="49" t="s">
        <v>167</v>
      </c>
      <c r="C16" s="47" t="s">
        <v>40</v>
      </c>
      <c r="D16" s="47"/>
      <c r="E16" s="50">
        <v>6931.9535999999998</v>
      </c>
      <c r="F16" s="50">
        <f t="shared" si="2"/>
        <v>6918.0896928000002</v>
      </c>
      <c r="G16" s="47"/>
      <c r="H16" s="50"/>
      <c r="I16" s="50">
        <f t="shared" si="0"/>
        <v>13850.043292800001</v>
      </c>
      <c r="J16" s="51">
        <f t="shared" si="1"/>
        <v>0.25048796698994891</v>
      </c>
    </row>
    <row r="17" spans="1:10" ht="24" customHeight="1">
      <c r="A17" s="47">
        <v>13</v>
      </c>
      <c r="B17" s="49" t="s">
        <v>168</v>
      </c>
      <c r="C17" s="47" t="s">
        <v>40</v>
      </c>
      <c r="D17" s="47">
        <v>374.95119999999997</v>
      </c>
      <c r="E17" s="50">
        <f>1280.136+827.45</f>
        <v>2107.5860000000002</v>
      </c>
      <c r="F17" s="50">
        <f t="shared" si="2"/>
        <v>2103.3708280000001</v>
      </c>
      <c r="G17" s="47">
        <v>518.596</v>
      </c>
      <c r="H17" s="50"/>
      <c r="I17" s="50">
        <f t="shared" si="0"/>
        <v>5104.5040279999994</v>
      </c>
      <c r="J17" s="51">
        <f t="shared" si="1"/>
        <v>9.2318616587315577E-2</v>
      </c>
    </row>
    <row r="18" spans="1:10" ht="24" customHeight="1">
      <c r="A18" s="47">
        <v>14</v>
      </c>
      <c r="B18" s="49" t="s">
        <v>169</v>
      </c>
      <c r="C18" s="47" t="s">
        <v>40</v>
      </c>
      <c r="D18" s="50"/>
      <c r="E18" s="50">
        <v>7223.1390000000001</v>
      </c>
      <c r="F18" s="50">
        <f t="shared" si="2"/>
        <v>7208.6927219999998</v>
      </c>
      <c r="G18" s="50"/>
      <c r="H18" s="50"/>
      <c r="I18" s="50">
        <f t="shared" si="0"/>
        <v>14431.831721999999</v>
      </c>
      <c r="J18" s="51">
        <f t="shared" si="1"/>
        <v>0.2610100280238189</v>
      </c>
    </row>
    <row r="19" spans="1:10" ht="24" customHeight="1">
      <c r="A19" s="47">
        <v>15</v>
      </c>
      <c r="B19" s="49" t="s">
        <v>170</v>
      </c>
      <c r="C19" s="47" t="s">
        <v>40</v>
      </c>
      <c r="D19" s="50"/>
      <c r="E19" s="50">
        <v>5874.7170999999998</v>
      </c>
      <c r="F19" s="50">
        <f t="shared" si="2"/>
        <v>5862.9676657999998</v>
      </c>
      <c r="G19" s="50"/>
      <c r="H19" s="50"/>
      <c r="I19" s="50">
        <f t="shared" si="0"/>
        <v>11737.684765800001</v>
      </c>
      <c r="J19" s="51">
        <f t="shared" si="1"/>
        <v>0.21228444792534218</v>
      </c>
    </row>
    <row r="20" spans="1:10" ht="24" customHeight="1">
      <c r="A20" s="47">
        <v>16</v>
      </c>
      <c r="B20" s="49" t="s">
        <v>171</v>
      </c>
      <c r="C20" s="47" t="s">
        <v>40</v>
      </c>
      <c r="D20" s="50"/>
      <c r="E20" s="50">
        <v>2792.0970000000002</v>
      </c>
      <c r="F20" s="50">
        <f t="shared" si="2"/>
        <v>2786.5128060000002</v>
      </c>
      <c r="G20" s="50"/>
      <c r="H20" s="50"/>
      <c r="I20" s="50">
        <f t="shared" si="0"/>
        <v>5578.6098060000004</v>
      </c>
      <c r="J20" s="51">
        <f t="shared" si="1"/>
        <v>0.1008931596381048</v>
      </c>
    </row>
    <row r="21" spans="1:10" ht="24" customHeight="1">
      <c r="A21" s="47">
        <v>17</v>
      </c>
      <c r="B21" s="49" t="s">
        <v>172</v>
      </c>
      <c r="C21" s="47" t="s">
        <v>40</v>
      </c>
      <c r="D21" s="47">
        <v>155.601</v>
      </c>
      <c r="E21" s="47"/>
      <c r="F21" s="47"/>
      <c r="G21" s="47">
        <v>48.429600000000001</v>
      </c>
      <c r="H21" s="50"/>
      <c r="I21" s="50">
        <f t="shared" si="0"/>
        <v>204.03059999999999</v>
      </c>
      <c r="J21" s="51">
        <f t="shared" ref="J21:J43" si="3">I21/55292.25</f>
        <v>3.6900397433636718E-3</v>
      </c>
    </row>
    <row r="22" spans="1:10" ht="24" customHeight="1">
      <c r="A22" s="47">
        <v>18</v>
      </c>
      <c r="B22" s="49" t="s">
        <v>173</v>
      </c>
      <c r="C22" s="47" t="s">
        <v>40</v>
      </c>
      <c r="D22" s="47">
        <v>66.175799999999995</v>
      </c>
      <c r="E22" s="47"/>
      <c r="F22" s="47"/>
      <c r="G22" s="47"/>
      <c r="H22" s="50"/>
      <c r="I22" s="50">
        <f t="shared" si="0"/>
        <v>66.175799999999995</v>
      </c>
      <c r="J22" s="51">
        <f t="shared" si="3"/>
        <v>1.1968368080517613E-3</v>
      </c>
    </row>
    <row r="23" spans="1:10" ht="24" customHeight="1">
      <c r="A23" s="47">
        <v>19</v>
      </c>
      <c r="B23" s="49" t="s">
        <v>174</v>
      </c>
      <c r="C23" s="47" t="s">
        <v>40</v>
      </c>
      <c r="D23" s="47">
        <v>24.154199999999999</v>
      </c>
      <c r="E23" s="47"/>
      <c r="F23" s="47"/>
      <c r="G23" s="47"/>
      <c r="H23" s="50"/>
      <c r="I23" s="50">
        <f t="shared" si="0"/>
        <v>24.154199999999999</v>
      </c>
      <c r="J23" s="51">
        <f t="shared" si="3"/>
        <v>4.3684603176756233E-4</v>
      </c>
    </row>
    <row r="24" spans="1:10" ht="24" customHeight="1">
      <c r="A24" s="47">
        <v>20</v>
      </c>
      <c r="B24" s="49" t="s">
        <v>175</v>
      </c>
      <c r="C24" s="47" t="s">
        <v>39</v>
      </c>
      <c r="D24" s="47">
        <v>46252.65</v>
      </c>
      <c r="E24" s="47"/>
      <c r="F24" s="47"/>
      <c r="G24" s="47"/>
      <c r="H24" s="50"/>
      <c r="I24" s="50">
        <f t="shared" si="0"/>
        <v>46252.65</v>
      </c>
      <c r="J24" s="51">
        <f t="shared" si="3"/>
        <v>0.83651235028417181</v>
      </c>
    </row>
    <row r="25" spans="1:10" ht="24" customHeight="1">
      <c r="A25" s="47">
        <v>21</v>
      </c>
      <c r="B25" s="49" t="s">
        <v>176</v>
      </c>
      <c r="C25" s="47" t="s">
        <v>40</v>
      </c>
      <c r="D25" s="47">
        <v>4051.4389000000001</v>
      </c>
      <c r="E25" s="47"/>
      <c r="F25" s="47"/>
      <c r="G25" s="47">
        <v>476.15030000000002</v>
      </c>
      <c r="H25" s="50"/>
      <c r="I25" s="50">
        <f t="shared" si="0"/>
        <v>4527.5892000000003</v>
      </c>
      <c r="J25" s="51">
        <f t="shared" si="3"/>
        <v>8.1884698126771835E-2</v>
      </c>
    </row>
    <row r="26" spans="1:10" ht="24" customHeight="1">
      <c r="A26" s="47">
        <v>22</v>
      </c>
      <c r="B26" s="53" t="s">
        <v>177</v>
      </c>
      <c r="C26" s="47" t="s">
        <v>40</v>
      </c>
      <c r="D26" s="47">
        <v>26368.421399999999</v>
      </c>
      <c r="E26" s="47"/>
      <c r="F26" s="47"/>
      <c r="G26" s="47"/>
      <c r="H26" s="50"/>
      <c r="I26" s="50">
        <f t="shared" si="0"/>
        <v>26368.421399999999</v>
      </c>
      <c r="J26" s="51">
        <f t="shared" si="3"/>
        <v>0.47689181395222657</v>
      </c>
    </row>
    <row r="27" spans="1:10" ht="24" customHeight="1">
      <c r="A27" s="47">
        <v>23</v>
      </c>
      <c r="B27" s="49" t="s">
        <v>178</v>
      </c>
      <c r="C27" s="47" t="s">
        <v>40</v>
      </c>
      <c r="D27" s="47">
        <v>14648.022199999999</v>
      </c>
      <c r="E27" s="47"/>
      <c r="F27" s="47"/>
      <c r="G27" s="47"/>
      <c r="H27" s="50"/>
      <c r="I27" s="50">
        <f t="shared" si="0"/>
        <v>14648.022199999999</v>
      </c>
      <c r="J27" s="51">
        <f t="shared" si="3"/>
        <v>0.26491998788256943</v>
      </c>
    </row>
    <row r="28" spans="1:10" ht="24" customHeight="1">
      <c r="A28" s="47">
        <v>24</v>
      </c>
      <c r="B28" s="49" t="s">
        <v>179</v>
      </c>
      <c r="C28" s="47" t="s">
        <v>39</v>
      </c>
      <c r="D28" s="47">
        <f>10073.5462+5682.7229+34.2047</f>
        <v>15790.473800000002</v>
      </c>
      <c r="E28" s="47"/>
      <c r="F28" s="47"/>
      <c r="G28" s="47">
        <v>1458.11</v>
      </c>
      <c r="H28" s="50"/>
      <c r="I28" s="50">
        <f t="shared" si="0"/>
        <v>17248.5838</v>
      </c>
      <c r="J28" s="51">
        <f t="shared" si="3"/>
        <v>0.31195300968942302</v>
      </c>
    </row>
    <row r="29" spans="1:10" ht="24" customHeight="1">
      <c r="A29" s="47">
        <v>25</v>
      </c>
      <c r="B29" s="49" t="s">
        <v>180</v>
      </c>
      <c r="C29" s="47" t="s">
        <v>38</v>
      </c>
      <c r="D29" s="47">
        <v>16.157599999999999</v>
      </c>
      <c r="E29" s="47"/>
      <c r="F29" s="47"/>
      <c r="G29" s="47"/>
      <c r="H29" s="50"/>
      <c r="I29" s="50">
        <f t="shared" si="0"/>
        <v>16.157599999999999</v>
      </c>
      <c r="J29" s="51">
        <f t="shared" si="3"/>
        <v>2.9222178515072184E-4</v>
      </c>
    </row>
    <row r="30" spans="1:10" ht="24" customHeight="1">
      <c r="A30" s="47">
        <v>26</v>
      </c>
      <c r="B30" s="49" t="s">
        <v>181</v>
      </c>
      <c r="C30" s="47" t="s">
        <v>40</v>
      </c>
      <c r="D30" s="47">
        <f>3148.562+724.394</f>
        <v>3872.9560000000001</v>
      </c>
      <c r="E30" s="47"/>
      <c r="F30" s="47"/>
      <c r="G30" s="47">
        <v>3212.5169999999998</v>
      </c>
      <c r="H30" s="50"/>
      <c r="I30" s="50">
        <f t="shared" si="0"/>
        <v>7085.473</v>
      </c>
      <c r="J30" s="51">
        <f t="shared" si="3"/>
        <v>0.12814586130967723</v>
      </c>
    </row>
    <row r="31" spans="1:10" ht="24" customHeight="1">
      <c r="A31" s="47">
        <v>27</v>
      </c>
      <c r="B31" s="49" t="s">
        <v>182</v>
      </c>
      <c r="C31" s="47" t="s">
        <v>40</v>
      </c>
      <c r="D31" s="47">
        <f>30967.2178+5322.0511</f>
        <v>36289.268899999995</v>
      </c>
      <c r="E31" s="47"/>
      <c r="F31" s="47"/>
      <c r="G31" s="47">
        <v>1134.2174</v>
      </c>
      <c r="H31" s="50"/>
      <c r="I31" s="50">
        <f t="shared" si="0"/>
        <v>37423.486299999997</v>
      </c>
      <c r="J31" s="51">
        <f t="shared" si="3"/>
        <v>0.67683059199074003</v>
      </c>
    </row>
    <row r="32" spans="1:10" ht="24" customHeight="1">
      <c r="A32" s="47">
        <v>28</v>
      </c>
      <c r="B32" s="49" t="s">
        <v>183</v>
      </c>
      <c r="C32" s="47" t="s">
        <v>40</v>
      </c>
      <c r="D32" s="47">
        <v>3225.14</v>
      </c>
      <c r="E32" s="47"/>
      <c r="F32" s="47"/>
      <c r="G32" s="47"/>
      <c r="H32" s="50"/>
      <c r="I32" s="50">
        <f t="shared" si="0"/>
        <v>3225.14</v>
      </c>
      <c r="J32" s="51">
        <f t="shared" si="3"/>
        <v>5.8328970154045097E-2</v>
      </c>
    </row>
    <row r="33" spans="1:10" ht="24" customHeight="1">
      <c r="A33" s="47">
        <v>29</v>
      </c>
      <c r="B33" s="49" t="s">
        <v>184</v>
      </c>
      <c r="C33" s="47" t="s">
        <v>39</v>
      </c>
      <c r="D33" s="47">
        <f>180.7608+813.4236+768.2336</f>
        <v>1762.4180000000001</v>
      </c>
      <c r="E33" s="47"/>
      <c r="F33" s="47"/>
      <c r="G33" s="47"/>
      <c r="H33" s="50"/>
      <c r="I33" s="50">
        <f t="shared" si="0"/>
        <v>1762.4180000000001</v>
      </c>
      <c r="J33" s="51">
        <f t="shared" si="3"/>
        <v>3.1874593636540383E-2</v>
      </c>
    </row>
    <row r="34" spans="1:10" ht="24" customHeight="1">
      <c r="A34" s="47">
        <v>30</v>
      </c>
      <c r="B34" s="49" t="s">
        <v>185</v>
      </c>
      <c r="C34" s="47" t="s">
        <v>39</v>
      </c>
      <c r="D34" s="47">
        <f>3803.4225+5351.134</f>
        <v>9154.5565000000006</v>
      </c>
      <c r="E34" s="47"/>
      <c r="F34" s="47"/>
      <c r="G34" s="47">
        <v>993.4</v>
      </c>
      <c r="H34" s="50"/>
      <c r="I34" s="50">
        <f t="shared" si="0"/>
        <v>10147.9565</v>
      </c>
      <c r="J34" s="51">
        <f t="shared" si="3"/>
        <v>0.18353307199471897</v>
      </c>
    </row>
    <row r="35" spans="1:10" ht="24" customHeight="1">
      <c r="A35" s="47">
        <v>31</v>
      </c>
      <c r="B35" s="49" t="s">
        <v>186</v>
      </c>
      <c r="C35" s="47" t="s">
        <v>39</v>
      </c>
      <c r="D35" s="47">
        <f>1516.7131+12661.4509</f>
        <v>14178.164000000001</v>
      </c>
      <c r="E35" s="47"/>
      <c r="F35" s="47"/>
      <c r="G35" s="47">
        <v>5197.22</v>
      </c>
      <c r="H35" s="50"/>
      <c r="I35" s="50">
        <f t="shared" si="0"/>
        <v>19375.384000000002</v>
      </c>
      <c r="J35" s="51">
        <f t="shared" si="3"/>
        <v>0.35041771676862493</v>
      </c>
    </row>
    <row r="36" spans="1:10" ht="24" customHeight="1">
      <c r="A36" s="47">
        <v>32</v>
      </c>
      <c r="B36" s="49" t="s">
        <v>187</v>
      </c>
      <c r="C36" s="47" t="s">
        <v>39</v>
      </c>
      <c r="D36" s="47">
        <v>4855.9053999999996</v>
      </c>
      <c r="E36" s="47"/>
      <c r="F36" s="47"/>
      <c r="G36" s="47"/>
      <c r="H36" s="50"/>
      <c r="I36" s="50">
        <f t="shared" si="0"/>
        <v>4855.9053999999996</v>
      </c>
      <c r="J36" s="51">
        <f t="shared" si="3"/>
        <v>8.7822532090844549E-2</v>
      </c>
    </row>
    <row r="37" spans="1:10" ht="24" customHeight="1">
      <c r="A37" s="47">
        <v>33</v>
      </c>
      <c r="B37" s="49" t="s">
        <v>188</v>
      </c>
      <c r="C37" s="47" t="s">
        <v>39</v>
      </c>
      <c r="D37" s="47">
        <v>23007.150099999999</v>
      </c>
      <c r="E37" s="47"/>
      <c r="F37" s="47"/>
      <c r="G37" s="47">
        <v>2482.4441999999999</v>
      </c>
      <c r="H37" s="50"/>
      <c r="I37" s="50">
        <f t="shared" si="0"/>
        <v>25489.594299999997</v>
      </c>
      <c r="J37" s="51">
        <f t="shared" si="3"/>
        <v>0.46099759550389063</v>
      </c>
    </row>
    <row r="38" spans="1:10" ht="24" customHeight="1">
      <c r="A38" s="47">
        <v>34</v>
      </c>
      <c r="B38" s="49" t="s">
        <v>189</v>
      </c>
      <c r="C38" s="47" t="s">
        <v>40</v>
      </c>
      <c r="D38" s="47">
        <v>248.85</v>
      </c>
      <c r="E38" s="47"/>
      <c r="F38" s="47"/>
      <c r="G38" s="47">
        <v>46.89</v>
      </c>
      <c r="H38" s="50"/>
      <c r="I38" s="50">
        <f t="shared" ref="I38:I54" si="4">SUM(D38:H38)</f>
        <v>295.74</v>
      </c>
      <c r="J38" s="51">
        <f t="shared" si="3"/>
        <v>5.3486700215672183E-3</v>
      </c>
    </row>
    <row r="39" spans="1:10" ht="24" customHeight="1">
      <c r="A39" s="47">
        <v>35</v>
      </c>
      <c r="B39" s="49" t="s">
        <v>190</v>
      </c>
      <c r="C39" s="47" t="s">
        <v>40</v>
      </c>
      <c r="D39" s="47">
        <v>16.059999999999999</v>
      </c>
      <c r="E39" s="47"/>
      <c r="F39" s="47"/>
      <c r="G39" s="47">
        <v>77.59</v>
      </c>
      <c r="H39" s="50"/>
      <c r="I39" s="50">
        <f t="shared" si="4"/>
        <v>93.65</v>
      </c>
      <c r="J39" s="51">
        <f t="shared" si="3"/>
        <v>1.6937274211123621E-3</v>
      </c>
    </row>
    <row r="40" spans="1:10" ht="24" customHeight="1">
      <c r="A40" s="47">
        <v>36</v>
      </c>
      <c r="B40" s="49" t="s">
        <v>191</v>
      </c>
      <c r="C40" s="47" t="s">
        <v>41</v>
      </c>
      <c r="D40" s="47">
        <v>369.09</v>
      </c>
      <c r="E40" s="47"/>
      <c r="F40" s="47"/>
      <c r="G40" s="47">
        <v>103.12</v>
      </c>
      <c r="H40" s="50"/>
      <c r="I40" s="50">
        <f t="shared" si="4"/>
        <v>472.21</v>
      </c>
      <c r="J40" s="51">
        <f t="shared" si="3"/>
        <v>8.5402565458992889E-3</v>
      </c>
    </row>
    <row r="41" spans="1:10" ht="24" customHeight="1">
      <c r="A41" s="47">
        <v>37</v>
      </c>
      <c r="B41" s="49" t="s">
        <v>192</v>
      </c>
      <c r="C41" s="47" t="s">
        <v>40</v>
      </c>
      <c r="D41" s="47"/>
      <c r="E41" s="47"/>
      <c r="F41" s="47"/>
      <c r="G41" s="47">
        <v>101.2748</v>
      </c>
      <c r="H41" s="50"/>
      <c r="I41" s="50">
        <f t="shared" si="4"/>
        <v>101.2748</v>
      </c>
      <c r="J41" s="51">
        <f t="shared" si="3"/>
        <v>1.8316273980530724E-3</v>
      </c>
    </row>
    <row r="42" spans="1:10" ht="24" customHeight="1">
      <c r="A42" s="47">
        <v>38</v>
      </c>
      <c r="B42" s="49" t="s">
        <v>193</v>
      </c>
      <c r="C42" s="47" t="s">
        <v>39</v>
      </c>
      <c r="D42" s="47"/>
      <c r="E42" s="47"/>
      <c r="F42" s="47"/>
      <c r="G42" s="47">
        <v>450.21</v>
      </c>
      <c r="H42" s="50"/>
      <c r="I42" s="50">
        <f t="shared" si="4"/>
        <v>450.21</v>
      </c>
      <c r="J42" s="51">
        <f t="shared" si="3"/>
        <v>8.1423707662466246E-3</v>
      </c>
    </row>
    <row r="43" spans="1:10" ht="24" customHeight="1">
      <c r="A43" s="47">
        <v>39</v>
      </c>
      <c r="B43" s="49" t="s">
        <v>194</v>
      </c>
      <c r="C43" s="47" t="s">
        <v>40</v>
      </c>
      <c r="D43" s="47"/>
      <c r="E43" s="47"/>
      <c r="F43" s="47"/>
      <c r="G43" s="47">
        <v>607.24680000000001</v>
      </c>
      <c r="H43" s="50"/>
      <c r="I43" s="50">
        <f t="shared" si="4"/>
        <v>607.24680000000001</v>
      </c>
      <c r="J43" s="51">
        <f t="shared" si="3"/>
        <v>1.0982493929981145E-2</v>
      </c>
    </row>
    <row r="44" spans="1:10" ht="24" customHeight="1">
      <c r="A44" s="47">
        <v>40</v>
      </c>
      <c r="B44" s="49" t="s">
        <v>195</v>
      </c>
      <c r="C44" s="47" t="s">
        <v>42</v>
      </c>
      <c r="D44" s="50">
        <v>6121.59</v>
      </c>
      <c r="E44" s="50">
        <v>944.01</v>
      </c>
      <c r="F44" s="50">
        <v>713.53</v>
      </c>
      <c r="G44" s="50">
        <v>118.87</v>
      </c>
      <c r="H44" s="50">
        <v>0</v>
      </c>
      <c r="I44" s="50">
        <f t="shared" si="4"/>
        <v>7898</v>
      </c>
      <c r="J44" s="51">
        <f t="shared" ref="J44:J54" si="5">I44/55292.25</f>
        <v>0.1428409948953063</v>
      </c>
    </row>
    <row r="45" spans="1:10" ht="24" customHeight="1">
      <c r="A45" s="47">
        <v>41</v>
      </c>
      <c r="B45" s="49" t="s">
        <v>196</v>
      </c>
      <c r="C45" s="47" t="s">
        <v>40</v>
      </c>
      <c r="D45" s="50">
        <v>2113.7600000000002</v>
      </c>
      <c r="E45" s="50">
        <v>1375.1023</v>
      </c>
      <c r="F45" s="50">
        <v>1369.0936999999999</v>
      </c>
      <c r="G45" s="50">
        <v>0</v>
      </c>
      <c r="H45" s="50">
        <v>0</v>
      </c>
      <c r="I45" s="50">
        <f t="shared" si="4"/>
        <v>4857.9560000000001</v>
      </c>
      <c r="J45" s="51">
        <f t="shared" si="5"/>
        <v>8.7859618662651642E-2</v>
      </c>
    </row>
    <row r="46" spans="1:10" ht="24" customHeight="1">
      <c r="A46" s="47">
        <v>42</v>
      </c>
      <c r="B46" s="49" t="s">
        <v>197</v>
      </c>
      <c r="C46" s="47" t="s">
        <v>42</v>
      </c>
      <c r="D46" s="50">
        <v>293.61</v>
      </c>
      <c r="E46" s="50">
        <v>20513.77</v>
      </c>
      <c r="F46" s="50">
        <v>20480.68</v>
      </c>
      <c r="G46" s="50">
        <v>118.71</v>
      </c>
      <c r="H46" s="50">
        <v>0</v>
      </c>
      <c r="I46" s="50">
        <f t="shared" si="4"/>
        <v>41406.769999999997</v>
      </c>
      <c r="J46" s="51">
        <f t="shared" si="5"/>
        <v>0.74887113474311495</v>
      </c>
    </row>
    <row r="47" spans="1:10" ht="24" customHeight="1">
      <c r="A47" s="47">
        <v>43</v>
      </c>
      <c r="B47" s="49" t="s">
        <v>198</v>
      </c>
      <c r="C47" s="47" t="s">
        <v>42</v>
      </c>
      <c r="D47" s="50">
        <v>406.98</v>
      </c>
      <c r="E47" s="50">
        <v>12474.32</v>
      </c>
      <c r="F47" s="50">
        <v>9653.75</v>
      </c>
      <c r="G47" s="50">
        <v>406.16</v>
      </c>
      <c r="H47" s="50">
        <v>0</v>
      </c>
      <c r="I47" s="50">
        <f t="shared" si="4"/>
        <v>22941.21</v>
      </c>
      <c r="J47" s="51">
        <f t="shared" si="5"/>
        <v>0.41490823759206757</v>
      </c>
    </row>
    <row r="48" spans="1:10" ht="24" customHeight="1">
      <c r="A48" s="47">
        <v>44</v>
      </c>
      <c r="B48" s="49" t="s">
        <v>199</v>
      </c>
      <c r="C48" s="47" t="s">
        <v>42</v>
      </c>
      <c r="D48" s="50">
        <v>27498.87</v>
      </c>
      <c r="E48" s="50">
        <f>4149.37+265515.08</f>
        <v>269664.45</v>
      </c>
      <c r="F48" s="50">
        <f>253441.31+4149.37</f>
        <v>257590.68</v>
      </c>
      <c r="G48" s="50">
        <v>1387.38</v>
      </c>
      <c r="H48" s="50">
        <v>0</v>
      </c>
      <c r="I48" s="50">
        <f t="shared" si="4"/>
        <v>556141.38</v>
      </c>
      <c r="J48" s="51">
        <f t="shared" si="5"/>
        <v>10.058215753564017</v>
      </c>
    </row>
    <row r="49" spans="1:10" ht="24" customHeight="1">
      <c r="A49" s="47">
        <v>45</v>
      </c>
      <c r="B49" s="49" t="s">
        <v>200</v>
      </c>
      <c r="C49" s="47" t="s">
        <v>42</v>
      </c>
      <c r="D49" s="50">
        <f>2673.85+726.1</f>
        <v>3399.95</v>
      </c>
      <c r="E49" s="50">
        <v>1482.28</v>
      </c>
      <c r="F49" s="50">
        <v>1724.14</v>
      </c>
      <c r="G49" s="50">
        <v>0</v>
      </c>
      <c r="H49" s="50">
        <v>0</v>
      </c>
      <c r="I49" s="50">
        <f t="shared" si="4"/>
        <v>6606.37</v>
      </c>
      <c r="J49" s="51">
        <f t="shared" si="5"/>
        <v>0.11948093991472584</v>
      </c>
    </row>
    <row r="50" spans="1:10" ht="24" customHeight="1">
      <c r="A50" s="47">
        <v>46</v>
      </c>
      <c r="B50" s="49" t="s">
        <v>201</v>
      </c>
      <c r="C50" s="47" t="s">
        <v>42</v>
      </c>
      <c r="D50" s="50">
        <v>5113.51</v>
      </c>
      <c r="E50" s="50">
        <v>1878.81</v>
      </c>
      <c r="F50" s="50">
        <v>2052.2800000000002</v>
      </c>
      <c r="G50" s="50">
        <v>315.90100000000001</v>
      </c>
      <c r="H50" s="50">
        <v>0</v>
      </c>
      <c r="I50" s="50">
        <f t="shared" si="4"/>
        <v>9360.5010000000002</v>
      </c>
      <c r="J50" s="51">
        <f t="shared" si="5"/>
        <v>0.16929137446929723</v>
      </c>
    </row>
    <row r="51" spans="1:10" ht="24" customHeight="1">
      <c r="A51" s="47">
        <v>47</v>
      </c>
      <c r="B51" s="49" t="s">
        <v>202</v>
      </c>
      <c r="C51" s="47" t="s">
        <v>42</v>
      </c>
      <c r="D51" s="50">
        <v>7848.59</v>
      </c>
      <c r="E51" s="50">
        <v>97952.49</v>
      </c>
      <c r="F51" s="50">
        <v>97893.26</v>
      </c>
      <c r="G51" s="50">
        <v>865.49</v>
      </c>
      <c r="H51" s="50">
        <v>0</v>
      </c>
      <c r="I51" s="50">
        <f t="shared" si="4"/>
        <v>204559.83</v>
      </c>
      <c r="J51" s="51">
        <f t="shared" si="5"/>
        <v>3.699611247507562</v>
      </c>
    </row>
    <row r="52" spans="1:10" ht="24" customHeight="1">
      <c r="A52" s="47">
        <v>48</v>
      </c>
      <c r="B52" s="49" t="s">
        <v>203</v>
      </c>
      <c r="C52" s="47" t="s">
        <v>42</v>
      </c>
      <c r="D52" s="50">
        <v>444.08</v>
      </c>
      <c r="E52" s="50">
        <v>167.55</v>
      </c>
      <c r="F52" s="50">
        <v>167.55</v>
      </c>
      <c r="G52" s="50">
        <v>0</v>
      </c>
      <c r="H52" s="50">
        <v>0</v>
      </c>
      <c r="I52" s="50">
        <f t="shared" si="4"/>
        <v>779.18000000000006</v>
      </c>
      <c r="J52" s="51">
        <f t="shared" si="5"/>
        <v>1.4092029172261936E-2</v>
      </c>
    </row>
    <row r="53" spans="1:10" ht="24" customHeight="1">
      <c r="A53" s="47">
        <v>49</v>
      </c>
      <c r="B53" s="49" t="s">
        <v>204</v>
      </c>
      <c r="C53" s="47" t="s">
        <v>42</v>
      </c>
      <c r="D53" s="50">
        <v>0</v>
      </c>
      <c r="E53" s="50">
        <v>0</v>
      </c>
      <c r="F53" s="50">
        <v>0</v>
      </c>
      <c r="G53" s="50">
        <v>0</v>
      </c>
      <c r="H53" s="50">
        <v>264.06</v>
      </c>
      <c r="I53" s="50">
        <f t="shared" si="4"/>
        <v>264.06</v>
      </c>
      <c r="J53" s="51">
        <f t="shared" si="5"/>
        <v>4.7757144988673818E-3</v>
      </c>
    </row>
    <row r="54" spans="1:10" ht="24" customHeight="1">
      <c r="A54" s="47">
        <v>50</v>
      </c>
      <c r="B54" s="49" t="s">
        <v>205</v>
      </c>
      <c r="C54" s="47" t="s">
        <v>42</v>
      </c>
      <c r="D54" s="50">
        <v>0</v>
      </c>
      <c r="E54" s="50">
        <v>0</v>
      </c>
      <c r="F54" s="50">
        <v>0</v>
      </c>
      <c r="G54" s="50">
        <v>0</v>
      </c>
      <c r="H54" s="50">
        <v>1309.54</v>
      </c>
      <c r="I54" s="50">
        <f t="shared" si="4"/>
        <v>1309.54</v>
      </c>
      <c r="J54" s="51">
        <f t="shared" si="5"/>
        <v>2.3683970176652244E-2</v>
      </c>
    </row>
    <row r="55" spans="1:10" ht="27" customHeight="1">
      <c r="A55" s="115" t="s">
        <v>149</v>
      </c>
      <c r="B55" s="115"/>
      <c r="C55" s="115"/>
      <c r="D55" s="115"/>
      <c r="E55" s="115"/>
      <c r="F55" s="115"/>
      <c r="G55" s="115"/>
      <c r="H55" s="115"/>
      <c r="I55" s="115"/>
      <c r="J55" s="115"/>
    </row>
    <row r="56" spans="1:10" ht="19.5" customHeight="1">
      <c r="A56" s="45" t="s">
        <v>148</v>
      </c>
      <c r="B56" s="45"/>
      <c r="C56" s="45"/>
      <c r="D56" s="116"/>
      <c r="E56" s="116"/>
      <c r="F56" s="54"/>
      <c r="G56" s="55"/>
      <c r="H56" s="45"/>
      <c r="I56" s="45"/>
      <c r="J56" s="45"/>
    </row>
    <row r="57" spans="1:10" ht="15">
      <c r="A57" s="57" t="s">
        <v>207</v>
      </c>
      <c r="B57" s="45"/>
      <c r="C57" s="45"/>
      <c r="D57" s="45"/>
      <c r="E57" s="45"/>
      <c r="F57" s="45"/>
      <c r="G57" s="45"/>
      <c r="H57" s="45"/>
      <c r="I57" s="45"/>
      <c r="J57" s="45"/>
    </row>
  </sheetData>
  <mergeCells count="5">
    <mergeCell ref="A1:J1"/>
    <mergeCell ref="A2:J2"/>
    <mergeCell ref="A3:J3"/>
    <mergeCell ref="A55:J55"/>
    <mergeCell ref="D56:E56"/>
  </mergeCells>
  <phoneticPr fontId="1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8" orientation="portrait" r:id="rId1"/>
  <headerFooter>
    <oddFooter>&amp;L&amp;10制表单位：东莞市建设工程造价管理站&amp;11
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4"/>
  <sheetViews>
    <sheetView workbookViewId="0">
      <pane xSplit="1" ySplit="1" topLeftCell="B2" activePane="bottomRight" state="frozen"/>
      <selection pane="topRight"/>
      <selection pane="bottomLeft"/>
      <selection pane="bottomRight" activeCell="D41" sqref="D41"/>
    </sheetView>
  </sheetViews>
  <sheetFormatPr defaultColWidth="21.375" defaultRowHeight="18" customHeight="1"/>
  <cols>
    <col min="1" max="1" width="44.25" style="3" customWidth="1"/>
    <col min="2" max="2" width="24.375" style="3" customWidth="1"/>
    <col min="3" max="9" width="17.375" style="3" customWidth="1"/>
    <col min="10" max="10" width="16.625" style="3" customWidth="1"/>
    <col min="11" max="11" width="19.375" style="3" customWidth="1"/>
    <col min="12" max="12" width="16.625" style="3" customWidth="1"/>
    <col min="13" max="13" width="19.375" style="3" customWidth="1"/>
    <col min="14" max="14" width="21.375" style="3" customWidth="1"/>
    <col min="15" max="16384" width="21.375" style="3"/>
  </cols>
  <sheetData>
    <row r="1" spans="1:13" ht="30" customHeight="1">
      <c r="A1" s="4"/>
      <c r="B1" s="5" t="s">
        <v>13</v>
      </c>
      <c r="C1" s="5" t="s">
        <v>14</v>
      </c>
      <c r="D1" s="5" t="s">
        <v>15</v>
      </c>
      <c r="E1" s="5" t="s">
        <v>43</v>
      </c>
      <c r="F1" s="5" t="s">
        <v>16</v>
      </c>
      <c r="G1" s="5" t="s">
        <v>17</v>
      </c>
      <c r="H1" s="5" t="s">
        <v>18</v>
      </c>
      <c r="I1" s="17"/>
      <c r="J1" s="4" t="s">
        <v>44</v>
      </c>
      <c r="K1" s="4" t="s">
        <v>45</v>
      </c>
      <c r="L1" s="4" t="s">
        <v>46</v>
      </c>
      <c r="M1" s="4" t="s">
        <v>47</v>
      </c>
    </row>
    <row r="2" spans="1:13" s="1" customFormat="1" ht="18" customHeight="1">
      <c r="A2" s="6" t="s">
        <v>48</v>
      </c>
      <c r="B2" s="7">
        <f>SUM(B3:B6)</f>
        <v>8458584.9299999997</v>
      </c>
      <c r="C2" s="7">
        <f t="shared" ref="C2:H2" si="0">SUM(C3:C6)</f>
        <v>21660077.530000001</v>
      </c>
      <c r="D2" s="7">
        <f t="shared" si="0"/>
        <v>1369686.01</v>
      </c>
      <c r="E2" s="7">
        <f t="shared" si="0"/>
        <v>126056054.93000001</v>
      </c>
      <c r="F2" s="7">
        <f t="shared" si="0"/>
        <v>11345044.939999999</v>
      </c>
      <c r="G2" s="7">
        <f t="shared" si="0"/>
        <v>137401099.87</v>
      </c>
      <c r="H2" s="7">
        <f t="shared" si="0"/>
        <v>29174582.370000001</v>
      </c>
      <c r="I2" s="18"/>
      <c r="J2" s="19">
        <v>30118662.460000001</v>
      </c>
      <c r="K2" s="19">
        <v>11345044.939999999</v>
      </c>
      <c r="L2" s="19">
        <v>17626417.02</v>
      </c>
      <c r="M2" s="19">
        <v>11548165.35</v>
      </c>
    </row>
    <row r="3" spans="1:13" ht="18" customHeight="1">
      <c r="A3" s="8" t="s">
        <v>49</v>
      </c>
      <c r="B3" s="9">
        <v>1318685.93</v>
      </c>
      <c r="C3" s="10">
        <f>J3-B3</f>
        <v>2611355.29</v>
      </c>
      <c r="D3" s="9">
        <v>366920.48</v>
      </c>
      <c r="E3" s="10">
        <f t="shared" ref="E3:E8" si="1">G3-F3</f>
        <v>32788517.789999999</v>
      </c>
      <c r="F3" s="10">
        <f t="shared" ref="F3:F8" si="2">K3</f>
        <v>2950966.6</v>
      </c>
      <c r="G3" s="9">
        <v>35739484.390000001</v>
      </c>
      <c r="H3" s="11">
        <f t="shared" ref="H3:H8" si="3">L3+M3</f>
        <v>5204309.3</v>
      </c>
      <c r="I3" s="20"/>
      <c r="J3" s="4">
        <v>3930041.22</v>
      </c>
      <c r="K3" s="4">
        <v>2950966.6</v>
      </c>
      <c r="L3" s="4">
        <v>4093634.06</v>
      </c>
      <c r="M3" s="4">
        <v>1110675.24</v>
      </c>
    </row>
    <row r="4" spans="1:13" s="2" customFormat="1" ht="18" customHeight="1">
      <c r="A4" s="8" t="s">
        <v>50</v>
      </c>
      <c r="B4" s="12">
        <v>3524798.25</v>
      </c>
      <c r="C4" s="10">
        <f t="shared" ref="C4:C8" si="4">J4-B4</f>
        <v>9055046.3599999994</v>
      </c>
      <c r="D4" s="12">
        <v>491851.36</v>
      </c>
      <c r="E4" s="10">
        <f t="shared" si="1"/>
        <v>45420757.57</v>
      </c>
      <c r="F4" s="10">
        <f t="shared" si="2"/>
        <v>4087868.18</v>
      </c>
      <c r="G4" s="12">
        <v>49508625.75</v>
      </c>
      <c r="H4" s="11">
        <f t="shared" si="3"/>
        <v>11634843.039999999</v>
      </c>
      <c r="I4" s="21"/>
      <c r="J4" s="22">
        <v>12579844.609999999</v>
      </c>
      <c r="K4" s="22">
        <v>4087868.18</v>
      </c>
      <c r="L4" s="22">
        <v>6638552.25</v>
      </c>
      <c r="M4" s="22">
        <v>4996290.79</v>
      </c>
    </row>
    <row r="5" spans="1:13" ht="18" customHeight="1">
      <c r="A5" s="8" t="s">
        <v>51</v>
      </c>
      <c r="B5" s="9">
        <v>3510876.99</v>
      </c>
      <c r="C5" s="10">
        <f t="shared" si="4"/>
        <v>9718235.7599999998</v>
      </c>
      <c r="D5" s="9">
        <v>486258.15</v>
      </c>
      <c r="E5" s="10">
        <f t="shared" si="1"/>
        <v>45864158.119999997</v>
      </c>
      <c r="F5" s="10">
        <f t="shared" si="2"/>
        <v>4127774.23</v>
      </c>
      <c r="G5" s="9">
        <v>49991932.350000001</v>
      </c>
      <c r="H5" s="11">
        <f t="shared" si="3"/>
        <v>11879785.82</v>
      </c>
      <c r="I5" s="23"/>
      <c r="J5" s="4">
        <v>13229112.75</v>
      </c>
      <c r="K5" s="4">
        <v>4127774.23</v>
      </c>
      <c r="L5" s="4">
        <v>6566115.2300000004</v>
      </c>
      <c r="M5" s="4">
        <v>5313670.59</v>
      </c>
    </row>
    <row r="6" spans="1:13" ht="18" customHeight="1">
      <c r="A6" s="8" t="s">
        <v>52</v>
      </c>
      <c r="B6" s="9">
        <v>104223.76</v>
      </c>
      <c r="C6" s="10">
        <f t="shared" si="4"/>
        <v>275440.12</v>
      </c>
      <c r="D6" s="9">
        <v>24656.02</v>
      </c>
      <c r="E6" s="10">
        <f t="shared" si="1"/>
        <v>1982621.45</v>
      </c>
      <c r="F6" s="10">
        <f t="shared" si="2"/>
        <v>178435.93</v>
      </c>
      <c r="G6" s="9">
        <v>2161057.38</v>
      </c>
      <c r="H6" s="11">
        <f t="shared" si="3"/>
        <v>455644.21</v>
      </c>
      <c r="I6" s="23"/>
      <c r="J6" s="4">
        <v>379663.88</v>
      </c>
      <c r="K6" s="4">
        <v>178435.93</v>
      </c>
      <c r="L6" s="4">
        <v>328115.48</v>
      </c>
      <c r="M6" s="4">
        <v>127528.73</v>
      </c>
    </row>
    <row r="7" spans="1:13" s="1" customFormat="1" ht="18" customHeight="1">
      <c r="A7" s="6" t="s">
        <v>53</v>
      </c>
      <c r="B7" s="7">
        <f>SUM(B8:B11)</f>
        <v>1030870.31</v>
      </c>
      <c r="C7" s="7">
        <f t="shared" ref="C7:H7" si="5">SUM(C8:C11)</f>
        <v>97214.049999999901</v>
      </c>
      <c r="D7" s="7">
        <f t="shared" si="5"/>
        <v>288194.11</v>
      </c>
      <c r="E7" s="7">
        <f t="shared" si="5"/>
        <v>12290794.59</v>
      </c>
      <c r="F7" s="7">
        <f t="shared" si="5"/>
        <v>1106171.51</v>
      </c>
      <c r="G7" s="7">
        <f t="shared" si="5"/>
        <v>13396966.1</v>
      </c>
      <c r="H7" s="7">
        <f t="shared" si="5"/>
        <v>2926521.73</v>
      </c>
      <c r="I7" s="18"/>
      <c r="J7" s="19">
        <v>1128084.3600000001</v>
      </c>
      <c r="K7" s="19">
        <v>1106171.51</v>
      </c>
      <c r="L7" s="19">
        <v>2829307.68</v>
      </c>
      <c r="M7" s="19">
        <v>97214.05</v>
      </c>
    </row>
    <row r="8" spans="1:13" ht="18" customHeight="1">
      <c r="A8" s="8" t="s">
        <v>54</v>
      </c>
      <c r="B8" s="9">
        <v>59270.11</v>
      </c>
      <c r="C8" s="10">
        <f t="shared" si="4"/>
        <v>4982.88</v>
      </c>
      <c r="D8" s="9">
        <v>16569.78</v>
      </c>
      <c r="E8" s="10">
        <f t="shared" si="1"/>
        <v>923106.46</v>
      </c>
      <c r="F8" s="10">
        <f t="shared" si="2"/>
        <v>83079.58</v>
      </c>
      <c r="G8" s="9">
        <v>1006186.04</v>
      </c>
      <c r="H8" s="11">
        <f t="shared" si="3"/>
        <v>164593.65</v>
      </c>
      <c r="I8" s="23"/>
      <c r="J8" s="4">
        <v>64252.99</v>
      </c>
      <c r="K8" s="4">
        <v>83079.58</v>
      </c>
      <c r="L8" s="4">
        <v>159610.76999999999</v>
      </c>
      <c r="M8" s="4">
        <v>4982.88</v>
      </c>
    </row>
    <row r="9" spans="1:13" ht="18" customHeight="1">
      <c r="A9" s="8" t="s">
        <v>55</v>
      </c>
      <c r="B9" s="9">
        <v>481051.76</v>
      </c>
      <c r="C9" s="10">
        <f t="shared" ref="C9:C13" si="6">J9-B9</f>
        <v>45704.559999999903</v>
      </c>
      <c r="D9" s="9">
        <v>134484.70000000001</v>
      </c>
      <c r="E9" s="10">
        <f t="shared" ref="E9:E13" si="7">G9-F9</f>
        <v>5571323.2199999997</v>
      </c>
      <c r="F9" s="10">
        <f t="shared" ref="F9:F13" si="8">K9</f>
        <v>501419.09</v>
      </c>
      <c r="G9" s="9">
        <v>6072742.3099999996</v>
      </c>
      <c r="H9" s="11">
        <f t="shared" ref="H9:H13" si="9">L9+M9</f>
        <v>1368869.57</v>
      </c>
      <c r="I9" s="23"/>
      <c r="J9" s="4">
        <v>526756.31999999995</v>
      </c>
      <c r="K9" s="4">
        <v>501419.09</v>
      </c>
      <c r="L9" s="4">
        <v>1323165.01</v>
      </c>
      <c r="M9" s="4">
        <v>45704.56</v>
      </c>
    </row>
    <row r="10" spans="1:13" ht="18" customHeight="1">
      <c r="A10" s="8" t="s">
        <v>56</v>
      </c>
      <c r="B10" s="9">
        <v>481136.17</v>
      </c>
      <c r="C10" s="10">
        <f t="shared" si="6"/>
        <v>45665.41</v>
      </c>
      <c r="D10" s="9">
        <v>134508.29999999999</v>
      </c>
      <c r="E10" s="10">
        <f t="shared" si="7"/>
        <v>5677938.8200000003</v>
      </c>
      <c r="F10" s="10">
        <f t="shared" si="8"/>
        <v>511014.49</v>
      </c>
      <c r="G10" s="9">
        <v>6188953.3099999996</v>
      </c>
      <c r="H10" s="11">
        <f t="shared" si="9"/>
        <v>1367695.06</v>
      </c>
      <c r="I10" s="23"/>
      <c r="J10" s="4">
        <v>526801.57999999996</v>
      </c>
      <c r="K10" s="4">
        <v>511014.49</v>
      </c>
      <c r="L10" s="4">
        <v>1322029.6499999999</v>
      </c>
      <c r="M10" s="4">
        <v>45665.41</v>
      </c>
    </row>
    <row r="11" spans="1:13" ht="18" customHeight="1">
      <c r="A11" s="8" t="s">
        <v>57</v>
      </c>
      <c r="B11" s="9">
        <v>9412.27</v>
      </c>
      <c r="C11" s="10">
        <f t="shared" si="6"/>
        <v>861.19999999999902</v>
      </c>
      <c r="D11" s="9">
        <v>2631.33</v>
      </c>
      <c r="E11" s="10">
        <f t="shared" si="7"/>
        <v>118426.09</v>
      </c>
      <c r="F11" s="10">
        <f t="shared" si="8"/>
        <v>10658.35</v>
      </c>
      <c r="G11" s="9">
        <v>129084.44</v>
      </c>
      <c r="H11" s="11">
        <f t="shared" si="9"/>
        <v>25363.45</v>
      </c>
      <c r="I11" s="23"/>
      <c r="J11" s="4">
        <v>10273.469999999999</v>
      </c>
      <c r="K11" s="4">
        <v>10658.35</v>
      </c>
      <c r="L11" s="4">
        <v>24502.25</v>
      </c>
      <c r="M11" s="4">
        <v>861.2</v>
      </c>
    </row>
    <row r="12" spans="1:13" s="1" customFormat="1" ht="18" customHeight="1">
      <c r="A12" s="6" t="s">
        <v>58</v>
      </c>
      <c r="B12" s="7">
        <f>SUM(B13:B17)</f>
        <v>682508.48</v>
      </c>
      <c r="C12" s="7">
        <f t="shared" ref="C12:H12" si="10">SUM(C13:C17)</f>
        <v>75439.69</v>
      </c>
      <c r="D12" s="7">
        <f t="shared" si="10"/>
        <v>190804.72</v>
      </c>
      <c r="E12" s="7">
        <f t="shared" si="10"/>
        <v>9152467.3599999994</v>
      </c>
      <c r="F12" s="7">
        <f t="shared" si="10"/>
        <v>823722.07</v>
      </c>
      <c r="G12" s="7">
        <f t="shared" si="10"/>
        <v>9976189.4299999997</v>
      </c>
      <c r="H12" s="7">
        <f t="shared" si="10"/>
        <v>1926111.87</v>
      </c>
      <c r="I12" s="18"/>
      <c r="J12" s="19">
        <v>757948.17</v>
      </c>
      <c r="K12" s="19">
        <v>823722.07</v>
      </c>
      <c r="L12" s="19">
        <v>1850672.18</v>
      </c>
      <c r="M12" s="19">
        <v>75439.69</v>
      </c>
    </row>
    <row r="13" spans="1:13" ht="18" customHeight="1">
      <c r="A13" s="8" t="s">
        <v>59</v>
      </c>
      <c r="B13" s="9">
        <v>26637.54</v>
      </c>
      <c r="C13" s="10">
        <f t="shared" si="6"/>
        <v>2383.8000000000002</v>
      </c>
      <c r="D13" s="9">
        <v>7446.9</v>
      </c>
      <c r="E13" s="10">
        <f t="shared" si="7"/>
        <v>1001784.74</v>
      </c>
      <c r="F13" s="10">
        <f t="shared" si="8"/>
        <v>90160.63</v>
      </c>
      <c r="G13" s="9">
        <v>1091945.3700000001</v>
      </c>
      <c r="H13" s="11">
        <f t="shared" si="9"/>
        <v>70482.679999999993</v>
      </c>
      <c r="I13" s="23"/>
      <c r="J13" s="4">
        <v>29021.34</v>
      </c>
      <c r="K13" s="4">
        <v>90160.63</v>
      </c>
      <c r="L13" s="4">
        <v>68098.880000000005</v>
      </c>
      <c r="M13" s="4">
        <v>2383.8000000000002</v>
      </c>
    </row>
    <row r="14" spans="1:13" ht="18" customHeight="1">
      <c r="A14" s="8" t="s">
        <v>60</v>
      </c>
      <c r="B14" s="9">
        <v>311244.76</v>
      </c>
      <c r="C14" s="10">
        <f t="shared" ref="C14:C19" si="11">J14-B14</f>
        <v>37303.1</v>
      </c>
      <c r="D14" s="9">
        <v>87012.79</v>
      </c>
      <c r="E14" s="10">
        <f t="shared" ref="E14:E19" si="12">G14-F14</f>
        <v>3874637.68</v>
      </c>
      <c r="F14" s="10">
        <f t="shared" ref="F14:F19" si="13">K14</f>
        <v>348717.39</v>
      </c>
      <c r="G14" s="9">
        <v>4223355.07</v>
      </c>
      <c r="H14" s="11">
        <f t="shared" ref="H14:H19" si="14">L14+M14</f>
        <v>902735.04</v>
      </c>
      <c r="I14" s="23"/>
      <c r="J14" s="4">
        <v>348547.86</v>
      </c>
      <c r="K14" s="4">
        <v>348717.39</v>
      </c>
      <c r="L14" s="4">
        <v>865431.94</v>
      </c>
      <c r="M14" s="4">
        <v>37303.1</v>
      </c>
    </row>
    <row r="15" spans="1:13" ht="18" customHeight="1">
      <c r="A15" s="8" t="s">
        <v>61</v>
      </c>
      <c r="B15" s="9">
        <v>294209.40999999997</v>
      </c>
      <c r="C15" s="10">
        <f t="shared" si="11"/>
        <v>35217.14</v>
      </c>
      <c r="D15" s="9">
        <v>82250.320000000007</v>
      </c>
      <c r="E15" s="10">
        <f t="shared" si="12"/>
        <v>3752390.65</v>
      </c>
      <c r="F15" s="10">
        <f t="shared" si="13"/>
        <v>337715.16</v>
      </c>
      <c r="G15" s="9">
        <v>4090105.81</v>
      </c>
      <c r="H15" s="11">
        <f t="shared" si="14"/>
        <v>852254.67</v>
      </c>
      <c r="I15" s="23"/>
      <c r="J15" s="4">
        <v>329426.55</v>
      </c>
      <c r="K15" s="4">
        <v>337715.16</v>
      </c>
      <c r="L15" s="4">
        <v>817037.53</v>
      </c>
      <c r="M15" s="4">
        <v>35217.14</v>
      </c>
    </row>
    <row r="16" spans="1:13" ht="18" customHeight="1">
      <c r="A16" s="8" t="s">
        <v>62</v>
      </c>
      <c r="B16" s="9">
        <v>3833.94</v>
      </c>
      <c r="C16" s="10">
        <f t="shared" si="11"/>
        <v>535.65</v>
      </c>
      <c r="D16" s="9">
        <v>1071.83</v>
      </c>
      <c r="E16" s="10">
        <f t="shared" si="12"/>
        <v>31543.19</v>
      </c>
      <c r="F16" s="10">
        <f t="shared" si="13"/>
        <v>2838.89</v>
      </c>
      <c r="G16" s="9">
        <v>34382.080000000002</v>
      </c>
      <c r="H16" s="11">
        <f t="shared" si="14"/>
        <v>11248.55</v>
      </c>
      <c r="I16" s="23"/>
      <c r="J16" s="4">
        <v>4369.59</v>
      </c>
      <c r="K16" s="4">
        <v>2838.89</v>
      </c>
      <c r="L16" s="4">
        <v>10712.9</v>
      </c>
      <c r="M16" s="4">
        <v>535.65</v>
      </c>
    </row>
    <row r="17" spans="1:13" ht="18" customHeight="1">
      <c r="A17" s="8" t="s">
        <v>63</v>
      </c>
      <c r="B17" s="9">
        <v>46582.83</v>
      </c>
      <c r="C17" s="10">
        <f t="shared" si="11"/>
        <v>0</v>
      </c>
      <c r="D17" s="9">
        <v>13022.88</v>
      </c>
      <c r="E17" s="10">
        <f t="shared" si="12"/>
        <v>492111.1</v>
      </c>
      <c r="F17" s="10">
        <f t="shared" si="13"/>
        <v>44290</v>
      </c>
      <c r="G17" s="9">
        <v>536401.1</v>
      </c>
      <c r="H17" s="11">
        <f t="shared" si="14"/>
        <v>89390.93</v>
      </c>
      <c r="I17" s="23"/>
      <c r="J17" s="4">
        <v>46582.83</v>
      </c>
      <c r="K17" s="4">
        <v>44290</v>
      </c>
      <c r="L17" s="4">
        <v>89390.93</v>
      </c>
      <c r="M17" s="4">
        <v>0</v>
      </c>
    </row>
    <row r="18" spans="1:13" s="1" customFormat="1" ht="18" customHeight="1">
      <c r="A18" s="6" t="s">
        <v>64</v>
      </c>
      <c r="B18" s="7">
        <f>SUM(B19:B23)</f>
        <v>208649.03</v>
      </c>
      <c r="C18" s="7">
        <f t="shared" ref="C18:H18" si="15">SUM(C19:C23)</f>
        <v>22013.06</v>
      </c>
      <c r="D18" s="7">
        <f t="shared" si="15"/>
        <v>58330.720000000001</v>
      </c>
      <c r="E18" s="7">
        <f t="shared" si="15"/>
        <v>3033952.54</v>
      </c>
      <c r="F18" s="7">
        <f t="shared" si="15"/>
        <v>273055.73</v>
      </c>
      <c r="G18" s="7">
        <f t="shared" si="15"/>
        <v>3307008.27</v>
      </c>
      <c r="H18" s="7">
        <f t="shared" si="15"/>
        <v>579265.09</v>
      </c>
      <c r="I18" s="18"/>
      <c r="J18" s="19">
        <v>230662.09</v>
      </c>
      <c r="K18" s="19">
        <v>273055.73</v>
      </c>
      <c r="L18" s="19">
        <v>557252.03</v>
      </c>
      <c r="M18" s="19">
        <v>22013.06</v>
      </c>
    </row>
    <row r="19" spans="1:13" ht="18" customHeight="1">
      <c r="A19" s="8" t="s">
        <v>65</v>
      </c>
      <c r="B19" s="9">
        <v>124323.8</v>
      </c>
      <c r="C19" s="10">
        <f t="shared" si="11"/>
        <v>13525.1</v>
      </c>
      <c r="D19" s="9">
        <v>34756.44</v>
      </c>
      <c r="E19" s="10">
        <f t="shared" si="12"/>
        <v>1818105.28</v>
      </c>
      <c r="F19" s="10">
        <f t="shared" si="13"/>
        <v>163629.48000000001</v>
      </c>
      <c r="G19" s="9">
        <v>1981734.76</v>
      </c>
      <c r="H19" s="11">
        <f t="shared" si="14"/>
        <v>346647.52</v>
      </c>
      <c r="I19" s="23"/>
      <c r="J19" s="4">
        <v>137848.9</v>
      </c>
      <c r="K19" s="4">
        <v>163629.48000000001</v>
      </c>
      <c r="L19" s="4">
        <v>333122.42</v>
      </c>
      <c r="M19" s="4">
        <v>13525.1</v>
      </c>
    </row>
    <row r="20" spans="1:13" ht="18" customHeight="1">
      <c r="A20" s="8" t="s">
        <v>66</v>
      </c>
      <c r="B20" s="9">
        <v>38226.639999999999</v>
      </c>
      <c r="C20" s="10">
        <f t="shared" ref="C20:C25" si="16">J20-B20</f>
        <v>4295.3999999999996</v>
      </c>
      <c r="D20" s="9">
        <v>10686.79</v>
      </c>
      <c r="E20" s="10">
        <f t="shared" ref="E20:E25" si="17">G20-F20</f>
        <v>531648.67000000004</v>
      </c>
      <c r="F20" s="10">
        <f t="shared" ref="F20:F25" si="18">K20</f>
        <v>47848.38</v>
      </c>
      <c r="G20" s="9">
        <v>579497.05000000005</v>
      </c>
      <c r="H20" s="11">
        <f t="shared" ref="H20:H25" si="19">L20+M20</f>
        <v>107335.75</v>
      </c>
      <c r="I20" s="23"/>
      <c r="J20" s="4">
        <v>42522.04</v>
      </c>
      <c r="K20" s="4">
        <v>47848.38</v>
      </c>
      <c r="L20" s="4">
        <v>103040.35</v>
      </c>
      <c r="M20" s="4">
        <v>4295.3999999999996</v>
      </c>
    </row>
    <row r="21" spans="1:13" ht="18" customHeight="1">
      <c r="A21" s="8" t="s">
        <v>67</v>
      </c>
      <c r="B21" s="9">
        <v>33764.06</v>
      </c>
      <c r="C21" s="10">
        <f t="shared" si="16"/>
        <v>3843.75</v>
      </c>
      <c r="D21" s="9">
        <v>9439.2099999999991</v>
      </c>
      <c r="E21" s="10">
        <f t="shared" si="17"/>
        <v>451675.02</v>
      </c>
      <c r="F21" s="10">
        <f t="shared" si="18"/>
        <v>40650.75</v>
      </c>
      <c r="G21" s="9">
        <v>492325.77</v>
      </c>
      <c r="H21" s="11">
        <f t="shared" si="19"/>
        <v>95603.1</v>
      </c>
      <c r="I21" s="23"/>
      <c r="J21" s="4">
        <v>37607.81</v>
      </c>
      <c r="K21" s="4">
        <v>40650.75</v>
      </c>
      <c r="L21" s="4">
        <v>91759.35</v>
      </c>
      <c r="M21" s="4">
        <v>3843.75</v>
      </c>
    </row>
    <row r="22" spans="1:13" ht="18" customHeight="1">
      <c r="A22" s="8" t="s">
        <v>68</v>
      </c>
      <c r="B22" s="9">
        <v>2729.66</v>
      </c>
      <c r="C22" s="10">
        <f t="shared" si="16"/>
        <v>348.81</v>
      </c>
      <c r="D22" s="9">
        <v>763.11</v>
      </c>
      <c r="E22" s="10">
        <f t="shared" si="17"/>
        <v>40852.870000000003</v>
      </c>
      <c r="F22" s="10">
        <f t="shared" si="18"/>
        <v>3676.76</v>
      </c>
      <c r="G22" s="9">
        <v>44529.63</v>
      </c>
      <c r="H22" s="11">
        <f t="shared" si="19"/>
        <v>7623.92</v>
      </c>
      <c r="I22" s="23"/>
      <c r="J22" s="4">
        <v>3078.47</v>
      </c>
      <c r="K22" s="4">
        <v>3676.76</v>
      </c>
      <c r="L22" s="4">
        <v>7275.11</v>
      </c>
      <c r="M22" s="4">
        <v>348.81</v>
      </c>
    </row>
    <row r="23" spans="1:13" ht="18" customHeight="1">
      <c r="A23" s="8" t="s">
        <v>69</v>
      </c>
      <c r="B23" s="9">
        <v>9604.8700000000008</v>
      </c>
      <c r="C23" s="10">
        <f t="shared" si="16"/>
        <v>0</v>
      </c>
      <c r="D23" s="9">
        <v>2685.17</v>
      </c>
      <c r="E23" s="10">
        <f t="shared" si="17"/>
        <v>191670.7</v>
      </c>
      <c r="F23" s="10">
        <f t="shared" si="18"/>
        <v>17250.36</v>
      </c>
      <c r="G23" s="9">
        <v>208921.06</v>
      </c>
      <c r="H23" s="11">
        <f t="shared" si="19"/>
        <v>22054.799999999999</v>
      </c>
      <c r="I23" s="23"/>
      <c r="J23" s="4">
        <v>9604.8700000000008</v>
      </c>
      <c r="K23" s="4">
        <v>17250.36</v>
      </c>
      <c r="L23" s="4">
        <v>22054.799999999999</v>
      </c>
      <c r="M23" s="4">
        <v>0</v>
      </c>
    </row>
    <row r="24" spans="1:13" s="1" customFormat="1" ht="18" customHeight="1">
      <c r="A24" s="6" t="s">
        <v>70</v>
      </c>
      <c r="B24" s="7">
        <f>SUM(B25:B27)</f>
        <v>122939.16</v>
      </c>
      <c r="C24" s="7">
        <f t="shared" ref="C24:H24" si="20">SUM(C25:C27)</f>
        <v>9367.74</v>
      </c>
      <c r="D24" s="7">
        <f t="shared" si="20"/>
        <v>34369.35</v>
      </c>
      <c r="E24" s="7">
        <f t="shared" si="20"/>
        <v>1729408.29</v>
      </c>
      <c r="F24" s="7">
        <f t="shared" si="20"/>
        <v>155646.75</v>
      </c>
      <c r="G24" s="7">
        <f t="shared" si="20"/>
        <v>1885055.04</v>
      </c>
      <c r="H24" s="7">
        <f t="shared" si="20"/>
        <v>336088.95</v>
      </c>
      <c r="I24" s="18"/>
      <c r="J24" s="19">
        <v>132306.9</v>
      </c>
      <c r="K24" s="19">
        <v>155646.75</v>
      </c>
      <c r="L24" s="19">
        <v>326721.21000000002</v>
      </c>
      <c r="M24" s="19">
        <v>9367.74</v>
      </c>
    </row>
    <row r="25" spans="1:13" ht="18" customHeight="1">
      <c r="A25" s="8" t="s">
        <v>71</v>
      </c>
      <c r="B25" s="9">
        <v>61215.98</v>
      </c>
      <c r="C25" s="10">
        <f t="shared" si="16"/>
        <v>4466.6499999999996</v>
      </c>
      <c r="D25" s="9">
        <v>17113.78</v>
      </c>
      <c r="E25" s="10">
        <f t="shared" si="17"/>
        <v>929123.92</v>
      </c>
      <c r="F25" s="10">
        <f t="shared" si="18"/>
        <v>83621.149999999994</v>
      </c>
      <c r="G25" s="9">
        <v>1012745.07</v>
      </c>
      <c r="H25" s="11">
        <f t="shared" si="19"/>
        <v>167374.12</v>
      </c>
      <c r="I25" s="23"/>
      <c r="J25" s="4">
        <v>65682.63</v>
      </c>
      <c r="K25" s="4">
        <v>83621.149999999994</v>
      </c>
      <c r="L25" s="4">
        <v>162907.47</v>
      </c>
      <c r="M25" s="4">
        <v>4466.6499999999996</v>
      </c>
    </row>
    <row r="26" spans="1:13" ht="18" customHeight="1">
      <c r="A26" s="8" t="s">
        <v>72</v>
      </c>
      <c r="B26" s="9">
        <v>30915.45</v>
      </c>
      <c r="C26" s="10">
        <f t="shared" ref="C26:C29" si="21">J26-B26</f>
        <v>2455.15</v>
      </c>
      <c r="D26" s="9">
        <v>8642.84</v>
      </c>
      <c r="E26" s="10">
        <f t="shared" ref="E26:E29" si="22">G26-F26</f>
        <v>400629.73</v>
      </c>
      <c r="F26" s="10">
        <f t="shared" ref="F26:F29" si="23">K26</f>
        <v>36056.68</v>
      </c>
      <c r="G26" s="9">
        <v>436686.41</v>
      </c>
      <c r="H26" s="11">
        <f t="shared" ref="H26:H29" si="24">L26+M26</f>
        <v>84503.41</v>
      </c>
      <c r="I26" s="23"/>
      <c r="J26" s="4">
        <v>33370.6</v>
      </c>
      <c r="K26" s="4">
        <v>36056.68</v>
      </c>
      <c r="L26" s="4">
        <v>82048.259999999995</v>
      </c>
      <c r="M26" s="4">
        <v>2455.15</v>
      </c>
    </row>
    <row r="27" spans="1:13" ht="18" customHeight="1">
      <c r="A27" s="8" t="s">
        <v>73</v>
      </c>
      <c r="B27" s="9">
        <v>30807.73</v>
      </c>
      <c r="C27" s="10">
        <f t="shared" si="21"/>
        <v>2445.94</v>
      </c>
      <c r="D27" s="9">
        <v>8612.73</v>
      </c>
      <c r="E27" s="10">
        <f t="shared" si="22"/>
        <v>399654.64</v>
      </c>
      <c r="F27" s="10">
        <f t="shared" si="23"/>
        <v>35968.92</v>
      </c>
      <c r="G27" s="9">
        <v>435623.56</v>
      </c>
      <c r="H27" s="11">
        <f t="shared" si="24"/>
        <v>84211.42</v>
      </c>
      <c r="I27" s="23"/>
      <c r="J27" s="4">
        <v>33253.67</v>
      </c>
      <c r="K27" s="4">
        <v>35968.92</v>
      </c>
      <c r="L27" s="4">
        <v>81765.48</v>
      </c>
      <c r="M27" s="4">
        <v>2445.94</v>
      </c>
    </row>
    <row r="28" spans="1:13" s="1" customFormat="1" ht="18" customHeight="1">
      <c r="A28" s="6" t="s">
        <v>74</v>
      </c>
      <c r="B28" s="7">
        <f>SUM(B29:B30)</f>
        <v>270057.90000000002</v>
      </c>
      <c r="C28" s="7">
        <f t="shared" ref="C28:H28" si="25">SUM(C29:C30)</f>
        <v>0</v>
      </c>
      <c r="D28" s="7">
        <f t="shared" si="25"/>
        <v>75498.44</v>
      </c>
      <c r="E28" s="7">
        <f t="shared" si="25"/>
        <v>2681861.34</v>
      </c>
      <c r="F28" s="7">
        <f t="shared" si="25"/>
        <v>241367.52</v>
      </c>
      <c r="G28" s="7">
        <f t="shared" si="25"/>
        <v>2923228.86</v>
      </c>
      <c r="H28" s="7">
        <f t="shared" si="25"/>
        <v>661819.84</v>
      </c>
      <c r="I28" s="18"/>
      <c r="J28" s="19">
        <v>270057.90000000002</v>
      </c>
      <c r="K28" s="19">
        <v>241367.52</v>
      </c>
      <c r="L28" s="19">
        <v>661819.84</v>
      </c>
      <c r="M28" s="19">
        <v>0</v>
      </c>
    </row>
    <row r="29" spans="1:13" ht="18" customHeight="1">
      <c r="A29" s="8" t="s">
        <v>75</v>
      </c>
      <c r="B29" s="9">
        <v>135028.95000000001</v>
      </c>
      <c r="C29" s="10">
        <f t="shared" si="21"/>
        <v>0</v>
      </c>
      <c r="D29" s="9">
        <v>37749.22</v>
      </c>
      <c r="E29" s="10">
        <f t="shared" si="22"/>
        <v>1340930.67</v>
      </c>
      <c r="F29" s="10">
        <f t="shared" si="23"/>
        <v>120683.76</v>
      </c>
      <c r="G29" s="9">
        <v>1461614.43</v>
      </c>
      <c r="H29" s="11">
        <f t="shared" si="24"/>
        <v>330909.92</v>
      </c>
      <c r="I29" s="23"/>
      <c r="J29" s="4">
        <v>135028.95000000001</v>
      </c>
      <c r="K29" s="4">
        <v>120683.76</v>
      </c>
      <c r="L29" s="4">
        <v>330909.92</v>
      </c>
      <c r="M29" s="4">
        <v>0</v>
      </c>
    </row>
    <row r="30" spans="1:13" ht="18" customHeight="1">
      <c r="A30" s="8" t="s">
        <v>76</v>
      </c>
      <c r="B30" s="9">
        <v>135028.95000000001</v>
      </c>
      <c r="C30" s="10">
        <f t="shared" ref="C30:C34" si="26">J30-B30</f>
        <v>0</v>
      </c>
      <c r="D30" s="9">
        <v>37749.22</v>
      </c>
      <c r="E30" s="10">
        <f t="shared" ref="E30:E34" si="27">G30-F30</f>
        <v>1340930.67</v>
      </c>
      <c r="F30" s="10">
        <f t="shared" ref="F30:F34" si="28">K30</f>
        <v>120683.76</v>
      </c>
      <c r="G30" s="9">
        <v>1461614.43</v>
      </c>
      <c r="H30" s="11">
        <f t="shared" ref="H30:H34" si="29">L30+M30</f>
        <v>330909.92</v>
      </c>
      <c r="I30" s="23"/>
      <c r="J30" s="4">
        <v>135028.95000000001</v>
      </c>
      <c r="K30" s="4">
        <v>120683.76</v>
      </c>
      <c r="L30" s="4">
        <v>330909.92</v>
      </c>
      <c r="M30" s="4">
        <v>0</v>
      </c>
    </row>
    <row r="31" spans="1:13" s="1" customFormat="1" ht="18" customHeight="1">
      <c r="A31" s="6" t="s">
        <v>77</v>
      </c>
      <c r="B31" s="7">
        <f>SUM(B32)</f>
        <v>33212.18</v>
      </c>
      <c r="C31" s="7">
        <f t="shared" ref="C31:H31" si="30">SUM(C32)</f>
        <v>2479.81</v>
      </c>
      <c r="D31" s="7">
        <f t="shared" si="30"/>
        <v>0</v>
      </c>
      <c r="E31" s="7">
        <f t="shared" si="30"/>
        <v>3034521.84</v>
      </c>
      <c r="F31" s="7">
        <f t="shared" si="30"/>
        <v>273106.96999999997</v>
      </c>
      <c r="G31" s="7">
        <f t="shared" si="30"/>
        <v>3307628.81</v>
      </c>
      <c r="H31" s="7">
        <f t="shared" si="30"/>
        <v>85555.66</v>
      </c>
      <c r="I31" s="18"/>
      <c r="J31" s="19">
        <v>35691.99</v>
      </c>
      <c r="K31" s="19">
        <v>273106.96999999997</v>
      </c>
      <c r="L31" s="19">
        <v>83075.850000000006</v>
      </c>
      <c r="M31" s="19">
        <v>2479.81</v>
      </c>
    </row>
    <row r="32" spans="1:13" ht="18" customHeight="1">
      <c r="A32" s="8" t="s">
        <v>77</v>
      </c>
      <c r="B32" s="9">
        <v>33212.18</v>
      </c>
      <c r="C32" s="10">
        <f t="shared" si="26"/>
        <v>2479.81</v>
      </c>
      <c r="D32" s="9">
        <v>0</v>
      </c>
      <c r="E32" s="10">
        <f t="shared" si="27"/>
        <v>3034521.84</v>
      </c>
      <c r="F32" s="10">
        <f t="shared" si="28"/>
        <v>273106.96999999997</v>
      </c>
      <c r="G32" s="9">
        <v>3307628.81</v>
      </c>
      <c r="H32" s="11">
        <f t="shared" si="29"/>
        <v>85555.66</v>
      </c>
      <c r="I32" s="23"/>
      <c r="J32" s="4">
        <v>35691.99</v>
      </c>
      <c r="K32" s="4">
        <v>273106.96999999997</v>
      </c>
      <c r="L32" s="4">
        <v>83075.850000000006</v>
      </c>
      <c r="M32" s="4">
        <v>2479.81</v>
      </c>
    </row>
    <row r="33" spans="1:13" s="1" customFormat="1" ht="18" customHeight="1">
      <c r="A33" s="6" t="s">
        <v>78</v>
      </c>
      <c r="B33" s="7">
        <f>SUM(B34:B36)</f>
        <v>1079976.5</v>
      </c>
      <c r="C33" s="7">
        <f t="shared" ref="C33:H33" si="31">SUM(C34:C36)</f>
        <v>0</v>
      </c>
      <c r="D33" s="7">
        <f t="shared" si="31"/>
        <v>517940.09</v>
      </c>
      <c r="E33" s="7">
        <f t="shared" si="31"/>
        <v>70457484.150000006</v>
      </c>
      <c r="F33" s="7">
        <f t="shared" si="31"/>
        <v>6341173.5700000003</v>
      </c>
      <c r="G33" s="7">
        <f t="shared" si="31"/>
        <v>76798657.719999999</v>
      </c>
      <c r="H33" s="7">
        <f t="shared" si="31"/>
        <v>7463055.1500000004</v>
      </c>
      <c r="I33" s="18"/>
      <c r="J33" s="19">
        <v>1079976.5</v>
      </c>
      <c r="K33" s="19">
        <v>6341173.5700000003</v>
      </c>
      <c r="L33" s="19">
        <v>7375850.6200000001</v>
      </c>
      <c r="M33" s="19">
        <v>87204.53</v>
      </c>
    </row>
    <row r="34" spans="1:13" ht="18" customHeight="1">
      <c r="A34" s="13" t="s">
        <v>79</v>
      </c>
      <c r="B34" s="9">
        <v>34136.1</v>
      </c>
      <c r="C34" s="10">
        <f t="shared" si="26"/>
        <v>0</v>
      </c>
      <c r="D34" s="9">
        <v>5464.53</v>
      </c>
      <c r="E34" s="10">
        <f t="shared" si="27"/>
        <v>542119.72</v>
      </c>
      <c r="F34" s="10">
        <f t="shared" si="28"/>
        <v>48790.77</v>
      </c>
      <c r="G34" s="9">
        <v>590910.49</v>
      </c>
      <c r="H34" s="11">
        <f t="shared" si="29"/>
        <v>95739.8</v>
      </c>
      <c r="I34" s="23"/>
      <c r="J34" s="4">
        <v>34136.1</v>
      </c>
      <c r="K34" s="4">
        <v>48790.77</v>
      </c>
      <c r="L34" s="4">
        <v>78025.56</v>
      </c>
      <c r="M34" s="4">
        <v>17714.240000000002</v>
      </c>
    </row>
    <row r="35" spans="1:13" s="2" customFormat="1" ht="18" customHeight="1">
      <c r="A35" s="13" t="s">
        <v>80</v>
      </c>
      <c r="B35" s="12">
        <v>523011.75</v>
      </c>
      <c r="C35" s="10">
        <f t="shared" ref="C35:C40" si="32">J35-B35</f>
        <v>0</v>
      </c>
      <c r="D35" s="12">
        <v>256237.78</v>
      </c>
      <c r="E35" s="10">
        <f t="shared" ref="E35:E40" si="33">G35-F35</f>
        <v>34957985.689999998</v>
      </c>
      <c r="F35" s="10">
        <f t="shared" ref="F35:F40" si="34">K35</f>
        <v>3146218.71</v>
      </c>
      <c r="G35" s="12">
        <v>38104204.399999999</v>
      </c>
      <c r="H35" s="11">
        <f t="shared" ref="H35:H40" si="35">L35+M35</f>
        <v>3683725.28</v>
      </c>
      <c r="I35" s="21"/>
      <c r="J35" s="22">
        <v>523011.75</v>
      </c>
      <c r="K35" s="22">
        <v>3146218.71</v>
      </c>
      <c r="L35" s="22">
        <v>3648912.53</v>
      </c>
      <c r="M35" s="22">
        <v>34812.75</v>
      </c>
    </row>
    <row r="36" spans="1:13" ht="18" customHeight="1">
      <c r="A36" s="13" t="s">
        <v>81</v>
      </c>
      <c r="B36" s="9">
        <v>522828.65</v>
      </c>
      <c r="C36" s="10">
        <f t="shared" si="32"/>
        <v>0</v>
      </c>
      <c r="D36" s="9">
        <v>256237.78</v>
      </c>
      <c r="E36" s="10">
        <f t="shared" si="33"/>
        <v>34957378.740000002</v>
      </c>
      <c r="F36" s="10">
        <f t="shared" si="34"/>
        <v>3146164.09</v>
      </c>
      <c r="G36" s="9">
        <v>38103542.829999998</v>
      </c>
      <c r="H36" s="11">
        <f t="shared" si="35"/>
        <v>3683590.07</v>
      </c>
      <c r="I36" s="23"/>
      <c r="J36" s="4">
        <v>522828.65</v>
      </c>
      <c r="K36" s="4">
        <v>3146164.09</v>
      </c>
      <c r="L36" s="4">
        <v>3648912.53</v>
      </c>
      <c r="M36" s="4">
        <v>34677.54</v>
      </c>
    </row>
    <row r="37" spans="1:13" s="1" customFormat="1" ht="18" customHeight="1">
      <c r="A37" s="6" t="s">
        <v>82</v>
      </c>
      <c r="B37" s="7">
        <f>SUM(B38:B40)</f>
        <v>1060178.33</v>
      </c>
      <c r="C37" s="7">
        <f t="shared" ref="C37:H37" si="36">SUM(C38:C40)</f>
        <v>113342.77</v>
      </c>
      <c r="D37" s="7">
        <f t="shared" si="36"/>
        <v>296387.58</v>
      </c>
      <c r="E37" s="7">
        <f t="shared" si="36"/>
        <v>21136237.23</v>
      </c>
      <c r="F37" s="7">
        <f t="shared" si="36"/>
        <v>1902261.36</v>
      </c>
      <c r="G37" s="7">
        <f t="shared" si="36"/>
        <v>23038498.59</v>
      </c>
      <c r="H37" s="7">
        <f t="shared" si="36"/>
        <v>3058568.1</v>
      </c>
      <c r="I37" s="18"/>
      <c r="J37" s="19">
        <v>1173521.1000000001</v>
      </c>
      <c r="K37" s="19">
        <v>1902261.36</v>
      </c>
      <c r="L37" s="19">
        <v>2945225.33</v>
      </c>
      <c r="M37" s="19">
        <v>113342.77</v>
      </c>
    </row>
    <row r="38" spans="1:13" ht="18" customHeight="1">
      <c r="A38" s="13" t="s">
        <v>83</v>
      </c>
      <c r="B38" s="9">
        <v>882.21</v>
      </c>
      <c r="C38" s="10">
        <f t="shared" si="32"/>
        <v>98.65</v>
      </c>
      <c r="D38" s="9">
        <v>246.64</v>
      </c>
      <c r="E38" s="10">
        <f>G38-F38</f>
        <v>14660.23</v>
      </c>
      <c r="F38" s="10">
        <f t="shared" si="34"/>
        <v>1319.42</v>
      </c>
      <c r="G38" s="9">
        <v>15979.65</v>
      </c>
      <c r="H38" s="11">
        <f t="shared" si="35"/>
        <v>2565</v>
      </c>
      <c r="I38" s="23"/>
      <c r="J38" s="4">
        <v>980.86</v>
      </c>
      <c r="K38" s="4">
        <v>1319.42</v>
      </c>
      <c r="L38" s="4">
        <v>2466.35</v>
      </c>
      <c r="M38" s="4">
        <v>98.65</v>
      </c>
    </row>
    <row r="39" spans="1:13" ht="18" customHeight="1">
      <c r="A39" s="13" t="s">
        <v>84</v>
      </c>
      <c r="B39" s="9">
        <v>529648.06000000006</v>
      </c>
      <c r="C39" s="10">
        <f t="shared" si="32"/>
        <v>56622.059999999903</v>
      </c>
      <c r="D39" s="9">
        <v>148070.47</v>
      </c>
      <c r="E39" s="10">
        <f t="shared" si="33"/>
        <v>10560788.5</v>
      </c>
      <c r="F39" s="10">
        <f t="shared" si="34"/>
        <v>950470.97</v>
      </c>
      <c r="G39" s="9">
        <v>11511259.470000001</v>
      </c>
      <c r="H39" s="11">
        <f t="shared" si="35"/>
        <v>1528001.55</v>
      </c>
      <c r="I39" s="23"/>
      <c r="J39" s="4">
        <v>586270.12</v>
      </c>
      <c r="K39" s="4">
        <v>950470.97</v>
      </c>
      <c r="L39" s="4">
        <v>1471379.49</v>
      </c>
      <c r="M39" s="4">
        <v>56622.06</v>
      </c>
    </row>
    <row r="40" spans="1:13" ht="18" customHeight="1">
      <c r="A40" s="13" t="s">
        <v>85</v>
      </c>
      <c r="B40" s="9">
        <v>529648.06000000006</v>
      </c>
      <c r="C40" s="10">
        <f t="shared" si="32"/>
        <v>56622.059999999903</v>
      </c>
      <c r="D40" s="9">
        <v>148070.47</v>
      </c>
      <c r="E40" s="10">
        <f t="shared" si="33"/>
        <v>10560788.5</v>
      </c>
      <c r="F40" s="10">
        <f t="shared" si="34"/>
        <v>950470.97</v>
      </c>
      <c r="G40" s="9">
        <v>11511259.470000001</v>
      </c>
      <c r="H40" s="11">
        <f t="shared" si="35"/>
        <v>1528001.55</v>
      </c>
      <c r="I40" s="23"/>
      <c r="J40" s="4">
        <v>586270.12</v>
      </c>
      <c r="K40" s="4">
        <v>950470.97</v>
      </c>
      <c r="L40" s="4">
        <v>1471379.49</v>
      </c>
      <c r="M40" s="4">
        <v>56622.06</v>
      </c>
    </row>
    <row r="41" spans="1:13" ht="30.95" customHeight="1">
      <c r="A41" s="5" t="s">
        <v>86</v>
      </c>
      <c r="B41" s="14">
        <f>B2+B7+B12+B18+B24+B28+B31+B33+B37</f>
        <v>12946976.82</v>
      </c>
      <c r="C41" s="7">
        <f>C2+C7+C12+C18+C24+C28+C31+C33+C37</f>
        <v>21979934.649999999</v>
      </c>
      <c r="D41" s="14">
        <f t="shared" ref="D41:H41" si="37">D2+D7+D12+D18+D24+D28+D31+D33+D37</f>
        <v>2831211.02</v>
      </c>
      <c r="E41" s="7">
        <f t="shared" si="37"/>
        <v>249572782.27000001</v>
      </c>
      <c r="F41" s="7">
        <f t="shared" si="37"/>
        <v>22461550.420000002</v>
      </c>
      <c r="G41" s="14">
        <f t="shared" si="37"/>
        <v>272034332.69</v>
      </c>
      <c r="H41" s="7">
        <f t="shared" si="37"/>
        <v>46211568.759999998</v>
      </c>
      <c r="I41" s="24"/>
      <c r="J41" s="5">
        <v>34926911.469999999</v>
      </c>
      <c r="K41" s="5">
        <v>22461550.420000002</v>
      </c>
      <c r="L41" s="5">
        <v>34256341.759999998</v>
      </c>
      <c r="M41" s="5">
        <v>11955227</v>
      </c>
    </row>
    <row r="42" spans="1:13" ht="18" customHeight="1">
      <c r="B42" s="3">
        <v>12946976.82</v>
      </c>
      <c r="C42" s="15">
        <f>J41-B41</f>
        <v>21979934.649999999</v>
      </c>
      <c r="D42" s="3">
        <v>2831211.02</v>
      </c>
      <c r="E42" s="16">
        <f>G42-F42</f>
        <v>249572782.27000001</v>
      </c>
      <c r="F42" s="3">
        <v>22461550.420000002</v>
      </c>
      <c r="G42" s="16">
        <v>272034332.69</v>
      </c>
      <c r="H42" s="3">
        <f>34256341.76+11955227</f>
        <v>46211568.759999998</v>
      </c>
    </row>
    <row r="43" spans="1:13" ht="18" customHeight="1">
      <c r="B43" s="117">
        <v>34926911.469999999</v>
      </c>
      <c r="C43" s="117"/>
      <c r="J43" s="3">
        <f>SUM(J37+J33+J31+J28+J24+J18+J12+J7+J2)</f>
        <v>34926911.469999999</v>
      </c>
      <c r="K43" s="3">
        <f>SUM(K37+K33+K31+K28+K24+K18+K12+K7+K2)</f>
        <v>22461550.420000002</v>
      </c>
      <c r="L43" s="3">
        <f>SUM(L37+L33+L31+L28+L24+L18+L12+L7+L2)</f>
        <v>34256341.759999998</v>
      </c>
      <c r="M43" s="3">
        <f>SUM(M37+M33+M31+M28+M24+M18+M12+M7+M2)</f>
        <v>11955227</v>
      </c>
    </row>
    <row r="44" spans="1:13" ht="18" customHeight="1">
      <c r="J44" s="3">
        <f>SUM(J2:J40)/2</f>
        <v>34926911.469999999</v>
      </c>
      <c r="K44" s="3">
        <f>SUM(K2:K40)/2</f>
        <v>22461550.420000002</v>
      </c>
      <c r="L44" s="3">
        <f>SUM(L2:L40)/2</f>
        <v>34256341.759999998</v>
      </c>
      <c r="M44" s="3">
        <f>SUM(M2:M40)/2</f>
        <v>11955227</v>
      </c>
    </row>
  </sheetData>
  <mergeCells count="1">
    <mergeCell ref="B43:C43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6</vt:i4>
      </vt:variant>
    </vt:vector>
  </HeadingPairs>
  <TitlesOfParts>
    <vt:vector size="11" baseType="lpstr">
      <vt:lpstr>指标分析表说明</vt:lpstr>
      <vt:lpstr>表1工程造价指标分析表</vt:lpstr>
      <vt:lpstr>表2工程造价指标分析表（市政工程）</vt:lpstr>
      <vt:lpstr>表2主要材料耗用量</vt:lpstr>
      <vt:lpstr>表1的附件数据（五~十项的）</vt:lpstr>
      <vt:lpstr>表1工程造价指标分析表!Print_Area</vt:lpstr>
      <vt:lpstr>'表2工程造价指标分析表（市政工程）'!Print_Area</vt:lpstr>
      <vt:lpstr>表2主要材料耗用量!Print_Area</vt:lpstr>
      <vt:lpstr>指标分析表说明!Print_Area</vt:lpstr>
      <vt:lpstr>表1工程造价指标分析表!Print_Titles</vt:lpstr>
      <vt:lpstr>表2主要材料耗用量!Print_Titles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张惠东</cp:lastModifiedBy>
  <cp:lastPrinted>2019-08-28T01:59:12Z</cp:lastPrinted>
  <dcterms:created xsi:type="dcterms:W3CDTF">2006-09-16T00:00:00Z</dcterms:created>
  <dcterms:modified xsi:type="dcterms:W3CDTF">2019-09-02T07:19:59Z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  <property fmtid="{D5CDD505-2E9C-101B-9397-08002B2CF9AE}" pid="3" name="KSOReadingLayout">
    <vt:bool>false</vt:bool>
  </property>
</Properties>
</file>