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095" windowHeight="7800" tabRatio="809" firstSheet="11" activeTab="15"/>
  </bookViews>
  <sheets>
    <sheet name="项目投资与资金筹措计划表 (3)" sheetId="44" r:id="rId1"/>
    <sheet name="项目投资与资金筹措计划表 (2)" sheetId="43" r:id="rId2"/>
    <sheet name="PSC值 (2)" sheetId="42" r:id="rId3"/>
    <sheet name="PPP值 (2)" sheetId="41" r:id="rId4"/>
    <sheet name="项目建设投资估算表 " sheetId="27" r:id="rId5"/>
    <sheet name="项目总投资估算表" sheetId="21" r:id="rId6"/>
    <sheet name="项目投资与资金筹措计划表" sheetId="5" r:id="rId7"/>
    <sheet name="运维成本费用估算表" sheetId="8" r:id="rId8"/>
    <sheet name="使用者付费" sheetId="40" r:id="rId9"/>
    <sheet name="建设期支付利息还本付息计划表  " sheetId="25" r:id="rId10"/>
    <sheet name="建设期付息政府付费用估算表 " sheetId="36" r:id="rId11"/>
    <sheet name="项目公司利润与利润分配表" sheetId="33" r:id="rId12"/>
    <sheet name="项目投资现金流量表" sheetId="28" r:id="rId13"/>
    <sheet name="项目资本金现金流量表 " sheetId="30" r:id="rId14"/>
    <sheet name="建安工程费用明细表" sheetId="26" r:id="rId15"/>
    <sheet name="运维面积统计" sheetId="39" r:id="rId16"/>
    <sheet name="土地征用及迁移补偿费明细表" sheetId="18" r:id="rId17"/>
  </sheets>
  <externalReferences>
    <externalReference r:id="rId18"/>
  </externalReferences>
  <definedNames>
    <definedName name="_xlnm.Print_Area" localSheetId="16">土地征用及迁移补偿费明细表!#REF!</definedName>
    <definedName name="_xlnm.Print_Area" localSheetId="6">项目投资与资金筹措计划表!$A$1:$I$56</definedName>
    <definedName name="_xlnm.Print_Area" localSheetId="0">'项目投资与资金筹措计划表 (3)'!$A$1:$I$56</definedName>
    <definedName name="_xlnm.Print_Area" localSheetId="15">运维面积统计!#REF!</definedName>
    <definedName name="_xlnm.Print_Titles" localSheetId="14">建安工程费用明细表!$1:$3</definedName>
    <definedName name="_xlnm.Print_Titles" localSheetId="16">土地征用及迁移补偿费明细表!$1:$3</definedName>
    <definedName name="_xlnm.Print_Titles" localSheetId="4">'项目建设投资估算表 '!$1:$4</definedName>
    <definedName name="_xlnm.Print_Titles" localSheetId="15">运维面积统计!$1:$2</definedName>
  </definedNames>
  <calcPr calcId="144525"/>
</workbook>
</file>

<file path=xl/sharedStrings.xml><?xml version="1.0" encoding="utf-8"?>
<sst xmlns="http://schemas.openxmlformats.org/spreadsheetml/2006/main" count="649">
  <si>
    <r>
      <rPr>
        <b/>
        <sz val="16"/>
        <rFont val="宋体"/>
        <charset val="134"/>
      </rPr>
      <t xml:space="preserve">        项目建设投资与资金筹措计划表     </t>
    </r>
    <r>
      <rPr>
        <b/>
        <sz val="12"/>
        <rFont val="宋体"/>
        <charset val="134"/>
      </rPr>
      <t>单位：万元</t>
    </r>
  </si>
  <si>
    <t>序号</t>
  </si>
  <si>
    <t>项目</t>
  </si>
  <si>
    <t>区段</t>
  </si>
  <si>
    <t>合计</t>
  </si>
  <si>
    <t>建设期</t>
  </si>
  <si>
    <t>2019年</t>
  </si>
  <si>
    <t>2020年</t>
  </si>
  <si>
    <t>2021年</t>
  </si>
  <si>
    <t>2022年</t>
  </si>
  <si>
    <t>2023年</t>
  </si>
  <si>
    <t>1</t>
  </si>
  <si>
    <t>项目总投资</t>
  </si>
  <si>
    <t>区段一</t>
  </si>
  <si>
    <t>区段二</t>
  </si>
  <si>
    <t>区段三</t>
  </si>
  <si>
    <t>1.1</t>
  </si>
  <si>
    <t>建设投资（建安费下浮后）</t>
  </si>
  <si>
    <t>1.1.1</t>
  </si>
  <si>
    <t>工程建设费</t>
  </si>
  <si>
    <t>下浮后工程建设费
(下浮10.57%)</t>
  </si>
  <si>
    <t>1.1.2</t>
  </si>
  <si>
    <t>工程建设其他费用（不含土地征用及迁移补偿费用）</t>
  </si>
  <si>
    <t>1.1.3</t>
  </si>
  <si>
    <t>土地征用及迁移补偿费</t>
  </si>
  <si>
    <t>1.1.4</t>
  </si>
  <si>
    <t>工程预备费</t>
  </si>
  <si>
    <t>1.2</t>
  </si>
  <si>
    <t>建设期利息</t>
  </si>
  <si>
    <t>资金筹措</t>
  </si>
  <si>
    <t>项目资本金</t>
  </si>
  <si>
    <t>2.1.1</t>
  </si>
  <si>
    <t>用于建设投资</t>
  </si>
  <si>
    <t>债务资金</t>
  </si>
  <si>
    <t>2.2.1</t>
  </si>
  <si>
    <t>当年建设资金投入占比</t>
  </si>
  <si>
    <t>建设投资
（建安费下浮后）</t>
  </si>
  <si>
    <t>下浮后工程建设费</t>
  </si>
  <si>
    <r>
      <rPr>
        <sz val="10"/>
        <rFont val="宋体"/>
        <charset val="134"/>
      </rPr>
      <t>区段一(下浮10.57</t>
    </r>
    <r>
      <rPr>
        <sz val="10"/>
        <rFont val="宋体"/>
        <charset val="134"/>
      </rPr>
      <t>%)</t>
    </r>
  </si>
  <si>
    <r>
      <rPr>
        <sz val="10"/>
        <rFont val="宋体"/>
        <charset val="134"/>
      </rPr>
      <t>区段二(下浮10.</t>
    </r>
    <r>
      <rPr>
        <sz val="10"/>
        <rFont val="宋体"/>
        <charset val="134"/>
      </rPr>
      <t>57</t>
    </r>
    <r>
      <rPr>
        <sz val="10"/>
        <rFont val="宋体"/>
        <charset val="134"/>
      </rPr>
      <t>%)</t>
    </r>
  </si>
  <si>
    <r>
      <rPr>
        <sz val="10"/>
        <rFont val="宋体"/>
        <charset val="134"/>
      </rPr>
      <t>区段三(下浮10.</t>
    </r>
    <r>
      <rPr>
        <sz val="10"/>
        <rFont val="宋体"/>
        <charset val="134"/>
      </rPr>
      <t>57</t>
    </r>
    <r>
      <rPr>
        <sz val="10"/>
        <rFont val="宋体"/>
        <charset val="134"/>
      </rPr>
      <t>%)</t>
    </r>
  </si>
  <si>
    <r>
      <rPr>
        <b/>
        <sz val="11"/>
        <color theme="1"/>
        <rFont val="宋体"/>
        <charset val="134"/>
      </rPr>
      <t xml:space="preserve">                      </t>
    </r>
    <r>
      <rPr>
        <b/>
        <sz val="14"/>
        <color theme="1"/>
        <rFont val="幼圆"/>
        <charset val="134"/>
      </rPr>
      <t xml:space="preserve">环莞快速路三期PPP项目PSC值计算表            </t>
    </r>
    <r>
      <rPr>
        <b/>
        <sz val="11"/>
        <color theme="1"/>
        <rFont val="幼圆"/>
        <charset val="134"/>
      </rPr>
      <t>单位：万元</t>
    </r>
    <r>
      <rPr>
        <b/>
        <sz val="14"/>
        <color theme="1"/>
        <rFont val="幼圆"/>
        <charset val="134"/>
      </rPr>
      <t xml:space="preserve">     </t>
    </r>
  </si>
  <si>
    <t>项    目</t>
  </si>
  <si>
    <t>运营期</t>
  </si>
  <si>
    <t>建设净成本</t>
  </si>
  <si>
    <t>资产处置收益</t>
  </si>
  <si>
    <t>运维净成本</t>
  </si>
  <si>
    <t>运维成本</t>
  </si>
  <si>
    <t>使用者付费</t>
  </si>
  <si>
    <t>竞争性中立调整值</t>
  </si>
  <si>
    <t>增值税</t>
  </si>
  <si>
    <t>税金及附加</t>
  </si>
  <si>
    <t>所得税</t>
  </si>
  <si>
    <t>全部风险承担成本（总投20%）</t>
  </si>
  <si>
    <t>合计（1+2+3+4）</t>
  </si>
  <si>
    <t>折现系数（折现率4.44%）</t>
  </si>
  <si>
    <t>PSC值</t>
  </si>
  <si>
    <r>
      <rPr>
        <b/>
        <sz val="11"/>
        <color theme="1"/>
        <rFont val="宋体"/>
        <charset val="134"/>
      </rPr>
      <t xml:space="preserve">          </t>
    </r>
    <r>
      <rPr>
        <b/>
        <sz val="11"/>
        <color theme="1"/>
        <rFont val="宋体"/>
        <charset val="134"/>
      </rPr>
      <t xml:space="preserve">                     </t>
    </r>
    <r>
      <rPr>
        <b/>
        <sz val="14"/>
        <color theme="1"/>
        <rFont val="幼圆"/>
        <charset val="134"/>
      </rPr>
      <t xml:space="preserve">环莞快速路三期PPP项目PPP值计算表            </t>
    </r>
    <r>
      <rPr>
        <b/>
        <sz val="11"/>
        <color theme="1"/>
        <rFont val="幼圆"/>
        <charset val="134"/>
      </rPr>
      <t>单位：万元</t>
    </r>
    <r>
      <rPr>
        <b/>
        <sz val="14"/>
        <color theme="1"/>
        <rFont val="幼圆"/>
        <charset val="134"/>
      </rPr>
      <t xml:space="preserve">     </t>
    </r>
  </si>
  <si>
    <t>股权投入</t>
  </si>
  <si>
    <t>配套投入</t>
  </si>
  <si>
    <t>政府投入运维净成本</t>
  </si>
  <si>
    <t>运维补贴</t>
  </si>
  <si>
    <t>政府自留风险成本(总风险额的20%）</t>
  </si>
  <si>
    <t>合计1+2+3+4</t>
  </si>
  <si>
    <t>―</t>
  </si>
  <si>
    <t>PPP值（5*6）</t>
  </si>
  <si>
    <t>物有所值量：PSC值-PPP值</t>
  </si>
  <si>
    <t>物有所值指数（PSC-PPP)/PSC</t>
  </si>
  <si>
    <t>项目建设投资估算表</t>
  </si>
  <si>
    <t>分项名称</t>
  </si>
  <si>
    <t>合计（万元）</t>
  </si>
  <si>
    <t>第一段估算价值（万元）</t>
  </si>
  <si>
    <t>第二段估算价值（万元）</t>
  </si>
  <si>
    <t>第三段估算价值（万元）</t>
  </si>
  <si>
    <t>备注</t>
  </si>
  <si>
    <t>建筑工程费</t>
  </si>
  <si>
    <t>设备购置费</t>
  </si>
  <si>
    <t>安装工程费</t>
  </si>
  <si>
    <t>其他费用</t>
  </si>
  <si>
    <t>Ⅰ</t>
  </si>
  <si>
    <t>第一部分 建筑安装工程费用</t>
  </si>
  <si>
    <t>一</t>
  </si>
  <si>
    <t>道路工程</t>
  </si>
  <si>
    <t>二</t>
  </si>
  <si>
    <t>桥梁工程</t>
  </si>
  <si>
    <t>三</t>
  </si>
  <si>
    <t>涵洞工程</t>
  </si>
  <si>
    <t>四</t>
  </si>
  <si>
    <t>隧道工程</t>
  </si>
  <si>
    <t>五</t>
  </si>
  <si>
    <t>绿化工程</t>
  </si>
  <si>
    <t>六</t>
  </si>
  <si>
    <t>给排水工程（雨水）</t>
  </si>
  <si>
    <t>七</t>
  </si>
  <si>
    <t>电气工程</t>
  </si>
  <si>
    <t>八</t>
  </si>
  <si>
    <t>交通工程</t>
  </si>
  <si>
    <t>九</t>
  </si>
  <si>
    <t>环境保护工程</t>
  </si>
  <si>
    <t>十</t>
  </si>
  <si>
    <t>水土保持工程</t>
  </si>
  <si>
    <t>暂定</t>
  </si>
  <si>
    <t>Ⅱ</t>
  </si>
  <si>
    <t>第二部分 工程建设其他费用</t>
  </si>
  <si>
    <r>
      <rPr>
        <sz val="10"/>
        <rFont val="宋体"/>
        <charset val="134"/>
      </rPr>
      <t>东府办（</t>
    </r>
    <r>
      <rPr>
        <sz val="10"/>
        <rFont val="Times New Roman"/>
        <charset val="134"/>
      </rPr>
      <t>2017</t>
    </r>
    <r>
      <rPr>
        <sz val="10"/>
        <rFont val="宋体"/>
        <charset val="134"/>
      </rPr>
      <t>）</t>
    </r>
    <r>
      <rPr>
        <sz val="10"/>
        <rFont val="Times New Roman"/>
        <charset val="134"/>
      </rPr>
      <t>111</t>
    </r>
    <r>
      <rPr>
        <sz val="10"/>
        <rFont val="宋体"/>
        <charset val="134"/>
      </rPr>
      <t>号</t>
    </r>
  </si>
  <si>
    <r>
      <rPr>
        <sz val="10"/>
        <rFont val="宋体"/>
        <charset val="134"/>
      </rPr>
      <t>东府办</t>
    </r>
    <r>
      <rPr>
        <sz val="10"/>
        <rFont val="Times New Roman"/>
        <charset val="134"/>
      </rPr>
      <t>(2017) 111</t>
    </r>
    <r>
      <rPr>
        <sz val="10"/>
        <rFont val="宋体"/>
        <charset val="134"/>
      </rPr>
      <t>号</t>
    </r>
  </si>
  <si>
    <t>建设管理费</t>
  </si>
  <si>
    <t xml:space="preserve">项目建设管理费 </t>
  </si>
  <si>
    <r>
      <rPr>
        <sz val="10"/>
        <rFont val="宋体"/>
        <charset val="134"/>
      </rPr>
      <t>财建【</t>
    </r>
    <r>
      <rPr>
        <sz val="10"/>
        <rFont val="Times New Roman"/>
        <charset val="134"/>
      </rPr>
      <t>2016</t>
    </r>
    <r>
      <rPr>
        <sz val="10"/>
        <rFont val="宋体"/>
        <charset val="134"/>
      </rPr>
      <t>】</t>
    </r>
    <r>
      <rPr>
        <sz val="10"/>
        <rFont val="Times New Roman"/>
        <charset val="134"/>
      </rPr>
      <t xml:space="preserve">504 </t>
    </r>
    <r>
      <rPr>
        <sz val="10"/>
        <rFont val="宋体"/>
        <charset val="134"/>
      </rPr>
      <t>号</t>
    </r>
  </si>
  <si>
    <t>财建【2016】504 号</t>
  </si>
  <si>
    <t>按总投资扣除征地迁移费为计算基数</t>
  </si>
  <si>
    <t xml:space="preserve">工程建设监理费 </t>
  </si>
  <si>
    <r>
      <rPr>
        <sz val="10"/>
        <rFont val="宋体"/>
        <charset val="134"/>
      </rPr>
      <t>发改价格【</t>
    </r>
    <r>
      <rPr>
        <sz val="10"/>
        <rFont val="Times New Roman"/>
        <charset val="134"/>
      </rPr>
      <t>2007</t>
    </r>
    <r>
      <rPr>
        <sz val="10"/>
        <rFont val="宋体"/>
        <charset val="134"/>
      </rPr>
      <t>】</t>
    </r>
    <r>
      <rPr>
        <sz val="10"/>
        <rFont val="Times New Roman"/>
        <charset val="134"/>
      </rPr>
      <t xml:space="preserve">670 </t>
    </r>
    <r>
      <rPr>
        <sz val="10"/>
        <rFont val="宋体"/>
        <charset val="134"/>
      </rPr>
      <t>号</t>
    </r>
  </si>
  <si>
    <r>
      <rPr>
        <sz val="10"/>
        <rFont val="宋体"/>
        <charset val="134"/>
      </rPr>
      <t>发改价格【</t>
    </r>
    <r>
      <rPr>
        <sz val="10"/>
        <rFont val="Times New Roman"/>
        <charset val="134"/>
      </rPr>
      <t>2007</t>
    </r>
    <r>
      <rPr>
        <sz val="10"/>
        <rFont val="宋体"/>
        <charset val="134"/>
      </rPr>
      <t>】</t>
    </r>
    <r>
      <rPr>
        <sz val="10"/>
        <rFont val="Times New Roman"/>
        <charset val="134"/>
      </rPr>
      <t>670</t>
    </r>
    <r>
      <rPr>
        <sz val="10"/>
        <rFont val="宋体"/>
        <charset val="134"/>
      </rPr>
      <t>号</t>
    </r>
  </si>
  <si>
    <t>第一段按4个标段计算；第二段按2个标段计算；第三段按6个标段计算</t>
  </si>
  <si>
    <t>前期工作咨询费</t>
  </si>
  <si>
    <r>
      <rPr>
        <sz val="10"/>
        <rFont val="宋体"/>
        <charset val="134"/>
      </rPr>
      <t>计价格【</t>
    </r>
    <r>
      <rPr>
        <sz val="10"/>
        <rFont val="Times New Roman"/>
        <charset val="134"/>
      </rPr>
      <t>1999</t>
    </r>
    <r>
      <rPr>
        <sz val="10"/>
        <rFont val="宋体"/>
        <charset val="134"/>
      </rPr>
      <t>】</t>
    </r>
    <r>
      <rPr>
        <sz val="10"/>
        <rFont val="Times New Roman"/>
        <charset val="134"/>
      </rPr>
      <t xml:space="preserve">1283 </t>
    </r>
    <r>
      <rPr>
        <sz val="10"/>
        <rFont val="宋体"/>
        <charset val="134"/>
      </rPr>
      <t>号</t>
    </r>
  </si>
  <si>
    <r>
      <rPr>
        <sz val="10"/>
        <rFont val="宋体"/>
        <charset val="134"/>
      </rPr>
      <t>计价格【</t>
    </r>
    <r>
      <rPr>
        <sz val="10"/>
        <rFont val="Times New Roman"/>
        <charset val="134"/>
      </rPr>
      <t>1999</t>
    </r>
    <r>
      <rPr>
        <sz val="10"/>
        <rFont val="宋体"/>
        <charset val="134"/>
      </rPr>
      <t>】</t>
    </r>
    <r>
      <rPr>
        <sz val="10"/>
        <rFont val="Times New Roman"/>
        <charset val="134"/>
      </rPr>
      <t xml:space="preserve"> 1283</t>
    </r>
    <r>
      <rPr>
        <sz val="10"/>
        <rFont val="宋体"/>
        <charset val="134"/>
      </rPr>
      <t>号</t>
    </r>
  </si>
  <si>
    <t>编制项目建议书</t>
  </si>
  <si>
    <t>编制可行性研究报告</t>
  </si>
  <si>
    <t>评估项目建议书</t>
  </si>
  <si>
    <t>评估可行性研究报告</t>
  </si>
  <si>
    <t xml:space="preserve">勘察设计费 </t>
  </si>
  <si>
    <r>
      <rPr>
        <sz val="10"/>
        <rFont val="宋体"/>
        <charset val="134"/>
      </rPr>
      <t>《工程勘察设计收费标准（</t>
    </r>
    <r>
      <rPr>
        <sz val="10"/>
        <rFont val="Times New Roman"/>
        <charset val="134"/>
      </rPr>
      <t xml:space="preserve">2002 </t>
    </r>
    <r>
      <rPr>
        <sz val="10"/>
        <rFont val="宋体"/>
        <charset val="134"/>
      </rPr>
      <t>年修订本）》</t>
    </r>
  </si>
  <si>
    <r>
      <rPr>
        <sz val="10"/>
        <rFont val="宋体"/>
        <charset val="134"/>
      </rPr>
      <t>工程勘察设汁收费标准（</t>
    </r>
    <r>
      <rPr>
        <sz val="10"/>
        <rFont val="Times New Roman"/>
        <charset val="134"/>
      </rPr>
      <t>2002</t>
    </r>
    <r>
      <rPr>
        <sz val="10"/>
        <rFont val="宋体"/>
        <charset val="134"/>
      </rPr>
      <t>年修订本）</t>
    </r>
  </si>
  <si>
    <t>工程勘察费</t>
  </si>
  <si>
    <t>工程设计费</t>
  </si>
  <si>
    <r>
      <rPr>
        <sz val="10"/>
        <rFont val="宋体"/>
        <charset val="134"/>
      </rPr>
      <t>第一三段分别按</t>
    </r>
    <r>
      <rPr>
        <sz val="10"/>
        <rFont val="Times New Roman"/>
        <charset val="134"/>
      </rPr>
      <t>2</t>
    </r>
    <r>
      <rPr>
        <sz val="10"/>
        <rFont val="宋体"/>
        <charset val="134"/>
      </rPr>
      <t>个标段计算</t>
    </r>
  </si>
  <si>
    <t>施工图预算编制</t>
  </si>
  <si>
    <r>
      <rPr>
        <b/>
        <sz val="10"/>
        <rFont val="宋体"/>
        <charset val="134"/>
      </rPr>
      <t>工程设计费</t>
    </r>
    <r>
      <rPr>
        <b/>
        <sz val="10"/>
        <rFont val="Times New Roman"/>
        <charset val="134"/>
      </rPr>
      <t>*10%</t>
    </r>
  </si>
  <si>
    <r>
      <rPr>
        <sz val="10"/>
        <rFont val="宋体"/>
        <charset val="134"/>
      </rPr>
      <t>工程设计费</t>
    </r>
    <r>
      <rPr>
        <sz val="10"/>
        <rFont val="Times New Roman"/>
        <charset val="134"/>
      </rPr>
      <t>*10%</t>
    </r>
  </si>
  <si>
    <t>环境影响咨询服务费</t>
  </si>
  <si>
    <r>
      <rPr>
        <sz val="10"/>
        <rFont val="宋体"/>
        <charset val="134"/>
      </rPr>
      <t>计价格【</t>
    </r>
    <r>
      <rPr>
        <sz val="10"/>
        <rFont val="Times New Roman"/>
        <charset val="134"/>
      </rPr>
      <t>2002</t>
    </r>
    <r>
      <rPr>
        <sz val="10"/>
        <rFont val="宋体"/>
        <charset val="134"/>
      </rPr>
      <t>】</t>
    </r>
    <r>
      <rPr>
        <sz val="10"/>
        <rFont val="Times New Roman"/>
        <charset val="134"/>
      </rPr>
      <t xml:space="preserve">125 </t>
    </r>
    <r>
      <rPr>
        <sz val="10"/>
        <rFont val="宋体"/>
        <charset val="134"/>
      </rPr>
      <t>号、发改价格</t>
    </r>
    <r>
      <rPr>
        <sz val="10"/>
        <rFont val="Times New Roman"/>
        <charset val="134"/>
      </rPr>
      <t xml:space="preserve">[2011]534 </t>
    </r>
    <r>
      <rPr>
        <sz val="10"/>
        <rFont val="宋体"/>
        <charset val="134"/>
      </rPr>
      <t>号</t>
    </r>
  </si>
  <si>
    <r>
      <rPr>
        <sz val="10"/>
        <rFont val="宋体"/>
        <charset val="134"/>
      </rPr>
      <t>计价格【</t>
    </r>
    <r>
      <rPr>
        <sz val="10"/>
        <rFont val="Times New Roman"/>
        <charset val="134"/>
      </rPr>
      <t>2002</t>
    </r>
    <r>
      <rPr>
        <sz val="10"/>
        <rFont val="宋体"/>
        <charset val="134"/>
      </rPr>
      <t>】</t>
    </r>
    <r>
      <rPr>
        <sz val="10"/>
        <rFont val="Times New Roman"/>
        <charset val="134"/>
      </rPr>
      <t>125</t>
    </r>
    <r>
      <rPr>
        <sz val="10"/>
        <rFont val="宋体"/>
        <charset val="134"/>
      </rPr>
      <t>号、发改价格</t>
    </r>
    <r>
      <rPr>
        <sz val="10"/>
        <rFont val="Times New Roman"/>
        <charset val="134"/>
      </rPr>
      <t>[2011]534</t>
    </r>
    <r>
      <rPr>
        <sz val="10"/>
        <rFont val="宋体"/>
        <charset val="134"/>
      </rPr>
      <t>号</t>
    </r>
  </si>
  <si>
    <t xml:space="preserve">场地准备及临时设施费 </t>
  </si>
  <si>
    <t>I*1%</t>
  </si>
  <si>
    <t>招标代理服务费</t>
  </si>
  <si>
    <r>
      <rPr>
        <sz val="10"/>
        <rFont val="宋体"/>
        <charset val="134"/>
      </rPr>
      <t>计价格【</t>
    </r>
    <r>
      <rPr>
        <sz val="10"/>
        <rFont val="Times New Roman"/>
        <charset val="134"/>
      </rPr>
      <t>2002</t>
    </r>
    <r>
      <rPr>
        <sz val="10"/>
        <rFont val="宋体"/>
        <charset val="134"/>
      </rPr>
      <t>】</t>
    </r>
    <r>
      <rPr>
        <sz val="10"/>
        <rFont val="Times New Roman"/>
        <charset val="134"/>
      </rPr>
      <t xml:space="preserve">1980 </t>
    </r>
    <r>
      <rPr>
        <sz val="10"/>
        <rFont val="宋体"/>
        <charset val="134"/>
      </rPr>
      <t>号、发改价格</t>
    </r>
    <r>
      <rPr>
        <sz val="10"/>
        <rFont val="Times New Roman"/>
        <charset val="134"/>
      </rPr>
      <t xml:space="preserve">[2011]534 </t>
    </r>
    <r>
      <rPr>
        <sz val="10"/>
        <rFont val="宋体"/>
        <charset val="134"/>
      </rPr>
      <t>号</t>
    </r>
  </si>
  <si>
    <r>
      <rPr>
        <sz val="10"/>
        <rFont val="宋体"/>
        <charset val="134"/>
      </rPr>
      <t>计价格【</t>
    </r>
    <r>
      <rPr>
        <sz val="10"/>
        <rFont val="Times New Roman"/>
        <charset val="134"/>
      </rPr>
      <t>2002</t>
    </r>
    <r>
      <rPr>
        <sz val="10"/>
        <rFont val="宋体"/>
        <charset val="134"/>
      </rPr>
      <t>】</t>
    </r>
    <r>
      <rPr>
        <sz val="10"/>
        <rFont val="Times New Roman"/>
        <charset val="134"/>
      </rPr>
      <t xml:space="preserve"> 1980</t>
    </r>
    <r>
      <rPr>
        <sz val="10"/>
        <rFont val="宋体"/>
        <charset val="134"/>
      </rPr>
      <t>号、发改价格</t>
    </r>
    <r>
      <rPr>
        <sz val="10"/>
        <rFont val="Times New Roman"/>
        <charset val="134"/>
      </rPr>
      <t>[2011]534</t>
    </r>
    <r>
      <rPr>
        <sz val="10"/>
        <rFont val="宋体"/>
        <charset val="134"/>
      </rPr>
      <t>号</t>
    </r>
  </si>
  <si>
    <r>
      <rPr>
        <sz val="10"/>
        <rFont val="宋体"/>
        <charset val="134"/>
      </rPr>
      <t>第一段按</t>
    </r>
    <r>
      <rPr>
        <sz val="10"/>
        <rFont val="Times New Roman"/>
        <charset val="134"/>
      </rPr>
      <t>4</t>
    </r>
    <r>
      <rPr>
        <sz val="10"/>
        <rFont val="宋体"/>
        <charset val="134"/>
      </rPr>
      <t>个标段计算；第二段按</t>
    </r>
    <r>
      <rPr>
        <sz val="10"/>
        <rFont val="Times New Roman"/>
        <charset val="134"/>
      </rPr>
      <t>2</t>
    </r>
    <r>
      <rPr>
        <sz val="10"/>
        <rFont val="宋体"/>
        <charset val="134"/>
      </rPr>
      <t>个标段计算；第三段按</t>
    </r>
    <r>
      <rPr>
        <sz val="10"/>
        <rFont val="Times New Roman"/>
        <charset val="134"/>
      </rPr>
      <t>6</t>
    </r>
    <r>
      <rPr>
        <sz val="10"/>
        <rFont val="宋体"/>
        <charset val="134"/>
      </rPr>
      <t>个标段计算</t>
    </r>
  </si>
  <si>
    <t>施工图审查费</t>
  </si>
  <si>
    <t>水土保持咨询服务费</t>
  </si>
  <si>
    <r>
      <rPr>
        <sz val="10"/>
        <rFont val="宋体"/>
        <charset val="134"/>
      </rPr>
      <t>保监【</t>
    </r>
    <r>
      <rPr>
        <sz val="10"/>
        <rFont val="Times New Roman"/>
        <charset val="134"/>
      </rPr>
      <t>2005</t>
    </r>
    <r>
      <rPr>
        <sz val="10"/>
        <rFont val="宋体"/>
        <charset val="134"/>
      </rPr>
      <t>】</t>
    </r>
    <r>
      <rPr>
        <sz val="10"/>
        <rFont val="Times New Roman"/>
        <charset val="134"/>
      </rPr>
      <t xml:space="preserve">22 </t>
    </r>
    <r>
      <rPr>
        <sz val="10"/>
        <rFont val="宋体"/>
        <charset val="134"/>
      </rPr>
      <t>号</t>
    </r>
  </si>
  <si>
    <r>
      <rPr>
        <b/>
        <sz val="10"/>
        <rFont val="宋体"/>
        <charset val="134"/>
      </rPr>
      <t>保监【</t>
    </r>
    <r>
      <rPr>
        <b/>
        <sz val="10"/>
        <rFont val="Times New Roman"/>
        <charset val="134"/>
      </rPr>
      <t>2005</t>
    </r>
    <r>
      <rPr>
        <b/>
        <sz val="10"/>
        <rFont val="宋体"/>
        <charset val="134"/>
      </rPr>
      <t>】</t>
    </r>
    <r>
      <rPr>
        <b/>
        <sz val="10"/>
        <rFont val="Times New Roman"/>
        <charset val="134"/>
      </rPr>
      <t>22</t>
    </r>
    <r>
      <rPr>
        <b/>
        <sz val="10"/>
        <rFont val="宋体"/>
        <charset val="134"/>
      </rPr>
      <t>号</t>
    </r>
  </si>
  <si>
    <r>
      <rPr>
        <sz val="10"/>
        <rFont val="宋体"/>
        <charset val="134"/>
      </rPr>
      <t>保监【</t>
    </r>
    <r>
      <rPr>
        <sz val="10"/>
        <rFont val="Times New Roman"/>
        <charset val="134"/>
      </rPr>
      <t>2005</t>
    </r>
    <r>
      <rPr>
        <sz val="10"/>
        <rFont val="宋体"/>
        <charset val="134"/>
      </rPr>
      <t>】</t>
    </r>
    <r>
      <rPr>
        <sz val="10"/>
        <rFont val="Times New Roman"/>
        <charset val="134"/>
      </rPr>
      <t>22</t>
    </r>
    <r>
      <rPr>
        <sz val="10"/>
        <rFont val="宋体"/>
        <charset val="134"/>
      </rPr>
      <t>号</t>
    </r>
  </si>
  <si>
    <t>水土保持方案编制费</t>
  </si>
  <si>
    <t>水土保持施工期监测费</t>
  </si>
  <si>
    <t>水土保持设施竣工验收技术评估报告编制费</t>
  </si>
  <si>
    <t>水土保持技术文件技术咨询服务费</t>
  </si>
  <si>
    <t>地震安全性评价费</t>
  </si>
  <si>
    <t>暂列</t>
  </si>
  <si>
    <t>十一</t>
  </si>
  <si>
    <t>地质灾害危险性评价费</t>
  </si>
  <si>
    <t>十二</t>
  </si>
  <si>
    <t>第三方检测监测费</t>
  </si>
  <si>
    <t>十三</t>
  </si>
  <si>
    <t>跨铁路、高速相关费用</t>
  </si>
  <si>
    <t>跨铁路相关费用</t>
  </si>
  <si>
    <r>
      <rPr>
        <sz val="10"/>
        <rFont val="Times New Roman"/>
        <charset val="134"/>
      </rPr>
      <t xml:space="preserve">跨广深客运专线、地铁三号线（规划中）共2 </t>
    </r>
    <r>
      <rPr>
        <sz val="10"/>
        <rFont val="宋体"/>
        <charset val="134"/>
      </rPr>
      <t>处</t>
    </r>
  </si>
  <si>
    <r>
      <rPr>
        <sz val="10"/>
        <rFont val="宋体"/>
        <charset val="134"/>
      </rPr>
      <t>跨赣深高铁（规划）、地铁</t>
    </r>
    <r>
      <rPr>
        <sz val="10"/>
        <rFont val="Times New Roman"/>
        <charset val="134"/>
      </rPr>
      <t xml:space="preserve">1 </t>
    </r>
    <r>
      <rPr>
        <sz val="10"/>
        <rFont val="宋体"/>
        <charset val="134"/>
      </rPr>
      <t>号线（规划）、莞惠城际、地铁三号线（规划中）、广深铁路共</t>
    </r>
    <r>
      <rPr>
        <sz val="10"/>
        <rFont val="Times New Roman"/>
        <charset val="134"/>
      </rPr>
      <t>5</t>
    </r>
    <r>
      <rPr>
        <sz val="10"/>
        <rFont val="宋体"/>
        <charset val="134"/>
      </rPr>
      <t>处</t>
    </r>
  </si>
  <si>
    <t>跨高速相关费用</t>
  </si>
  <si>
    <r>
      <rPr>
        <sz val="10"/>
        <rFont val="宋体"/>
        <charset val="134"/>
      </rPr>
      <t>跨龙大高速、常虎高速、莞深高速共</t>
    </r>
    <r>
      <rPr>
        <sz val="10"/>
        <rFont val="Times New Roman"/>
        <charset val="134"/>
      </rPr>
      <t>3</t>
    </r>
    <r>
      <rPr>
        <sz val="10"/>
        <rFont val="宋体"/>
        <charset val="134"/>
      </rPr>
      <t>处</t>
    </r>
  </si>
  <si>
    <r>
      <rPr>
        <sz val="10"/>
        <rFont val="宋体"/>
        <charset val="134"/>
      </rPr>
      <t>跨番莞高速、从莞高速共</t>
    </r>
    <r>
      <rPr>
        <sz val="10"/>
        <rFont val="Times New Roman"/>
        <charset val="134"/>
      </rPr>
      <t xml:space="preserve">2 </t>
    </r>
    <r>
      <rPr>
        <sz val="10"/>
        <rFont val="宋体"/>
        <charset val="134"/>
      </rPr>
      <t>处</t>
    </r>
  </si>
  <si>
    <t>十四</t>
  </si>
  <si>
    <t>河道相交保护费用</t>
  </si>
  <si>
    <t>十五</t>
  </si>
  <si>
    <t>跨管线措施费用</t>
  </si>
  <si>
    <t>江库联网供水管网</t>
  </si>
  <si>
    <t>高压燃气管</t>
  </si>
  <si>
    <r>
      <rPr>
        <sz val="10"/>
        <rFont val="宋体"/>
        <charset val="134"/>
      </rPr>
      <t>常虎高速公路南侧，共</t>
    </r>
    <r>
      <rPr>
        <sz val="10"/>
        <rFont val="Times New Roman"/>
        <charset val="134"/>
      </rPr>
      <t>1</t>
    </r>
    <r>
      <rPr>
        <sz val="10"/>
        <rFont val="宋体"/>
        <charset val="134"/>
      </rPr>
      <t>处</t>
    </r>
  </si>
  <si>
    <r>
      <rPr>
        <sz val="10"/>
        <rFont val="宋体"/>
        <charset val="134"/>
      </rPr>
      <t>莞深高速西侧，</t>
    </r>
    <r>
      <rPr>
        <sz val="10"/>
        <rFont val="Times New Roman"/>
        <charset val="134"/>
      </rPr>
      <t>1</t>
    </r>
    <r>
      <rPr>
        <sz val="10"/>
        <rFont val="宋体"/>
        <charset val="134"/>
      </rPr>
      <t>处</t>
    </r>
  </si>
  <si>
    <t>输油管道</t>
  </si>
  <si>
    <r>
      <rPr>
        <sz val="10"/>
        <rFont val="宋体"/>
        <charset val="134"/>
      </rPr>
      <t>莞深高速西侧，</t>
    </r>
    <r>
      <rPr>
        <sz val="10"/>
        <rFont val="Times New Roman"/>
        <charset val="134"/>
      </rPr>
      <t>2</t>
    </r>
    <r>
      <rPr>
        <sz val="10"/>
        <rFont val="宋体"/>
        <charset val="134"/>
      </rPr>
      <t>处</t>
    </r>
  </si>
  <si>
    <t>十六</t>
  </si>
  <si>
    <t>招标场地使用费</t>
  </si>
  <si>
    <t>Ⅲ</t>
  </si>
  <si>
    <t>第三部分 基本预备费</t>
  </si>
  <si>
    <r>
      <rPr>
        <sz val="10"/>
        <rFont val="宋体"/>
        <charset val="134"/>
      </rPr>
      <t>（</t>
    </r>
    <r>
      <rPr>
        <sz val="10"/>
        <rFont val="Times New Roman"/>
        <charset val="134"/>
      </rPr>
      <t>I+</t>
    </r>
    <r>
      <rPr>
        <sz val="10"/>
        <rFont val="宋体"/>
        <charset val="134"/>
      </rPr>
      <t>Ⅱ</t>
    </r>
    <r>
      <rPr>
        <sz val="10"/>
        <rFont val="Times New Roman"/>
        <charset val="134"/>
      </rPr>
      <t>-</t>
    </r>
    <r>
      <rPr>
        <sz val="10"/>
        <rFont val="宋体"/>
        <charset val="134"/>
      </rPr>
      <t>土地征用及迁移补偿费）</t>
    </r>
    <r>
      <rPr>
        <sz val="10"/>
        <rFont val="Times New Roman"/>
        <charset val="134"/>
      </rPr>
      <t>*5%</t>
    </r>
  </si>
  <si>
    <r>
      <rPr>
        <sz val="10"/>
        <rFont val="宋体"/>
        <charset val="134"/>
      </rPr>
      <t>（Ⅰ</t>
    </r>
    <r>
      <rPr>
        <sz val="10"/>
        <rFont val="Times New Roman"/>
        <charset val="134"/>
      </rPr>
      <t>+</t>
    </r>
    <r>
      <rPr>
        <sz val="10"/>
        <rFont val="宋体"/>
        <charset val="134"/>
      </rPr>
      <t>Ⅱ</t>
    </r>
    <r>
      <rPr>
        <sz val="10"/>
        <rFont val="Times New Roman"/>
        <charset val="134"/>
      </rPr>
      <t>-</t>
    </r>
    <r>
      <rPr>
        <sz val="10"/>
        <rFont val="宋体"/>
        <charset val="134"/>
      </rPr>
      <t>土地征用及迁移补偿费）</t>
    </r>
    <r>
      <rPr>
        <sz val="10"/>
        <rFont val="Times New Roman"/>
        <charset val="134"/>
      </rPr>
      <t>*5%</t>
    </r>
  </si>
  <si>
    <t>基数扣除土地征用及迁移补偿费</t>
  </si>
  <si>
    <t>Ⅳ</t>
  </si>
  <si>
    <t>第四部分 项目总投资（不含建设期利息）</t>
  </si>
  <si>
    <r>
      <rPr>
        <b/>
        <sz val="10"/>
        <rFont val="宋体"/>
        <charset val="134"/>
      </rPr>
      <t>（</t>
    </r>
    <r>
      <rPr>
        <b/>
        <sz val="10"/>
        <rFont val="Times New Roman"/>
        <charset val="134"/>
      </rPr>
      <t>I</t>
    </r>
    <r>
      <rPr>
        <b/>
        <sz val="10"/>
        <rFont val="宋体"/>
        <charset val="134"/>
      </rPr>
      <t>）</t>
    </r>
    <r>
      <rPr>
        <b/>
        <sz val="10"/>
        <rFont val="Times New Roman"/>
        <charset val="134"/>
      </rPr>
      <t>+</t>
    </r>
    <r>
      <rPr>
        <b/>
        <sz val="10"/>
        <rFont val="宋体"/>
        <charset val="134"/>
      </rPr>
      <t>（Ⅱ）</t>
    </r>
    <r>
      <rPr>
        <b/>
        <sz val="10"/>
        <rFont val="Times New Roman"/>
        <charset val="134"/>
      </rPr>
      <t>+</t>
    </r>
    <r>
      <rPr>
        <b/>
        <sz val="10"/>
        <rFont val="宋体"/>
        <charset val="134"/>
      </rPr>
      <t>（Ⅲ）</t>
    </r>
  </si>
  <si>
    <t>前期政府已支付费用</t>
  </si>
  <si>
    <t>注：前期政府已支付费用从项目建设投资中扣除，包括：前期工作咨询费、勘察设计费、环境影响咨询服务费、施工图审查费、水土保持咨询服务费、地震安全性评价费、地质灾害危险性评价费</t>
  </si>
  <si>
    <t>区段一项目公司支付的建设投资</t>
  </si>
  <si>
    <t>区段三项目公司支付的建设投资</t>
  </si>
  <si>
    <t>注：此数据按政府审批的建设投资估算金额，扣除政府已支付的费用得出</t>
  </si>
  <si>
    <r>
      <rPr>
        <sz val="12"/>
        <color rgb="FF000000"/>
        <rFont val="微软雅黑"/>
        <charset val="134"/>
      </rPr>
      <t xml:space="preserve"> </t>
    </r>
    <r>
      <rPr>
        <sz val="14"/>
        <color rgb="FF000000"/>
        <rFont val="微软雅黑"/>
        <charset val="134"/>
      </rPr>
      <t>项目建设总投资估算表</t>
    </r>
    <r>
      <rPr>
        <sz val="12"/>
        <color rgb="FF000000"/>
        <rFont val="微软雅黑"/>
        <charset val="134"/>
      </rPr>
      <t>（含政府前期投入）</t>
    </r>
  </si>
  <si>
    <t>费用名称</t>
  </si>
  <si>
    <t>合计金额</t>
  </si>
  <si>
    <t>（万元）</t>
  </si>
  <si>
    <t>建设投资</t>
  </si>
  <si>
    <t>建安工程费</t>
  </si>
  <si>
    <t>（含设备费）</t>
  </si>
  <si>
    <t>工程建设其他费用</t>
  </si>
  <si>
    <t>项目运营成本估算表</t>
  </si>
  <si>
    <t>养护种类</t>
  </si>
  <si>
    <t>计价单位</t>
  </si>
  <si>
    <t>单价（元）
每年价格</t>
  </si>
  <si>
    <t>工作量
（暂估）</t>
  </si>
  <si>
    <t>金额
（万元）</t>
  </si>
  <si>
    <t>养护标准</t>
  </si>
  <si>
    <t>区段一
工作量</t>
  </si>
  <si>
    <t>区段一养护
费（万元）</t>
  </si>
  <si>
    <t>区段二
工作量</t>
  </si>
  <si>
    <t>区段二养护
费（万元）</t>
  </si>
  <si>
    <t>区段三
工作量</t>
  </si>
  <si>
    <t>区段三养护
费（万元）</t>
  </si>
  <si>
    <t>环卫保洁</t>
  </si>
  <si>
    <t>m2</t>
  </si>
  <si>
    <t>二级</t>
  </si>
  <si>
    <t>参照市内同类道路养护标准，下同</t>
  </si>
  <si>
    <t>绿化养护</t>
  </si>
  <si>
    <r>
      <rPr>
        <b/>
        <sz val="10"/>
        <rFont val="宋体"/>
        <charset val="134"/>
      </rPr>
      <t>第</t>
    </r>
    <r>
      <rPr>
        <b/>
        <sz val="10"/>
        <rFont val="Times New Roman"/>
        <charset val="134"/>
      </rPr>
      <t>1</t>
    </r>
    <r>
      <rPr>
        <b/>
        <sz val="10"/>
        <rFont val="宋体"/>
        <charset val="134"/>
      </rPr>
      <t>年为质保期</t>
    </r>
  </si>
  <si>
    <t>路灯维护</t>
  </si>
  <si>
    <t>套</t>
  </si>
  <si>
    <r>
      <rPr>
        <b/>
        <sz val="10"/>
        <rFont val="宋体"/>
        <charset val="134"/>
      </rPr>
      <t>第</t>
    </r>
    <r>
      <rPr>
        <b/>
        <sz val="10"/>
        <rFont val="Times New Roman"/>
        <charset val="134"/>
      </rPr>
      <t>1~2</t>
    </r>
    <r>
      <rPr>
        <b/>
        <sz val="10"/>
        <rFont val="宋体"/>
        <charset val="134"/>
      </rPr>
      <t>年为质保期</t>
    </r>
  </si>
  <si>
    <t>树木</t>
  </si>
  <si>
    <t>株</t>
  </si>
  <si>
    <t>小计</t>
  </si>
  <si>
    <t>路面、桥梁
隧道、设施维护</t>
  </si>
  <si>
    <t>路面维护</t>
  </si>
  <si>
    <t>城市快速干道</t>
  </si>
  <si>
    <t>第1-2年为质保期</t>
  </si>
  <si>
    <t>桥梁维护</t>
  </si>
  <si>
    <t>一等</t>
  </si>
  <si>
    <t>检查、检测
日常维护</t>
  </si>
  <si>
    <t>隧道维护</t>
  </si>
  <si>
    <t>交通设施养护成本</t>
  </si>
  <si>
    <t>m</t>
  </si>
  <si>
    <t>隔音屏设施养护成本</t>
  </si>
  <si>
    <t>排水设施清疏养护</t>
  </si>
  <si>
    <r>
      <rPr>
        <sz val="12"/>
        <rFont val="宋体"/>
        <charset val="134"/>
      </rPr>
      <t xml:space="preserve">                          </t>
    </r>
    <r>
      <rPr>
        <b/>
        <sz val="12"/>
        <rFont val="宋体"/>
        <charset val="134"/>
      </rPr>
      <t xml:space="preserve"> 运营期每年运营成本估算 </t>
    </r>
    <r>
      <rPr>
        <sz val="12"/>
        <rFont val="宋体"/>
        <charset val="134"/>
      </rPr>
      <t xml:space="preserve">                       </t>
    </r>
    <r>
      <rPr>
        <b/>
        <sz val="12"/>
        <rFont val="宋体"/>
        <charset val="134"/>
      </rPr>
      <t xml:space="preserve"> 单位：万元</t>
    </r>
  </si>
  <si>
    <t>养护内容</t>
  </si>
  <si>
    <t>2024年</t>
  </si>
  <si>
    <t>2025年</t>
  </si>
  <si>
    <t>2026年</t>
  </si>
  <si>
    <t>2027年</t>
  </si>
  <si>
    <t>2028年</t>
  </si>
  <si>
    <t>2029年</t>
  </si>
  <si>
    <t>2030年</t>
  </si>
  <si>
    <t>2031年</t>
  </si>
  <si>
    <t>2032年</t>
  </si>
  <si>
    <t>2033年</t>
  </si>
  <si>
    <t>调整物价系数</t>
  </si>
  <si>
    <t>环卫、绿化、路灯</t>
  </si>
  <si>
    <t>其中：区段一</t>
  </si>
  <si>
    <t xml:space="preserve">     区段二</t>
  </si>
  <si>
    <t xml:space="preserve">     区段三</t>
  </si>
  <si>
    <t>路面、隧道、桥梁、设施</t>
  </si>
  <si>
    <t>人工调整物价系数</t>
  </si>
  <si>
    <t>人员工资福利</t>
  </si>
  <si>
    <t>管理费（5%）</t>
  </si>
  <si>
    <t>运维工程量估算表</t>
  </si>
  <si>
    <r>
      <rPr>
        <sz val="12"/>
        <rFont val="宋体"/>
        <charset val="134"/>
      </rPr>
      <t xml:space="preserve">                          </t>
    </r>
    <r>
      <rPr>
        <b/>
        <sz val="12"/>
        <rFont val="宋体"/>
        <charset val="134"/>
      </rPr>
      <t xml:space="preserve"> 运营期每年使用者付费估算 </t>
    </r>
    <r>
      <rPr>
        <sz val="12"/>
        <rFont val="宋体"/>
        <charset val="134"/>
      </rPr>
      <t xml:space="preserve">                       </t>
    </r>
    <r>
      <rPr>
        <b/>
        <sz val="12"/>
        <rFont val="宋体"/>
        <charset val="134"/>
      </rPr>
      <t xml:space="preserve"> 单位：万元</t>
    </r>
  </si>
  <si>
    <t>项目内容</t>
  </si>
  <si>
    <t>物价涨幅系数</t>
  </si>
  <si>
    <t>收入</t>
  </si>
  <si>
    <t>广告</t>
  </si>
  <si>
    <t>场地出租</t>
  </si>
  <si>
    <t>其他</t>
  </si>
  <si>
    <t>广告位租赁收益估算表</t>
  </si>
  <si>
    <t>数量</t>
  </si>
  <si>
    <t>单价（年.万元）</t>
  </si>
  <si>
    <t>收入汇总</t>
  </si>
  <si>
    <t>跨线桥</t>
  </si>
  <si>
    <t>立交</t>
  </si>
  <si>
    <t>隧道口</t>
  </si>
  <si>
    <r>
      <rPr>
        <sz val="12"/>
        <rFont val="宋体"/>
        <charset val="134"/>
      </rPr>
      <t>T型</t>
    </r>
    <r>
      <rPr>
        <sz val="12"/>
        <rFont val="宋体"/>
        <charset val="134"/>
      </rPr>
      <t>牌</t>
    </r>
  </si>
  <si>
    <t>考虑到本项目为新建项目，以及沿线经过的区域，将广告位初始年份的年租金收入设定为测算值50%，在各段实际投入运营后逐年上调10%直至100%后不再变动</t>
  </si>
  <si>
    <t>桥下空间租赁收益估算表</t>
  </si>
  <si>
    <t>可利用面积</t>
  </si>
  <si>
    <t>经营情况：经营期初每月3.0元/平方米，以后每二年增加1元</t>
  </si>
  <si>
    <t>净高&gt;2.5m</t>
  </si>
  <si>
    <t>预计可利用面积为60%</t>
  </si>
  <si>
    <t xml:space="preserve">  净高&lt;2.5m</t>
  </si>
  <si>
    <t>预计可利用面积为40%</t>
  </si>
  <si>
    <t>合计可利用面积</t>
  </si>
  <si>
    <r>
      <rPr>
        <b/>
        <sz val="11"/>
        <color theme="1"/>
        <rFont val="宋体"/>
        <charset val="134"/>
      </rPr>
      <t xml:space="preserve">                                                          </t>
    </r>
    <r>
      <rPr>
        <b/>
        <sz val="14"/>
        <color theme="1"/>
        <rFont val="幼圆"/>
        <charset val="134"/>
      </rPr>
      <t>建设期利息及借款还本付息计划表</t>
    </r>
    <r>
      <rPr>
        <b/>
        <sz val="16"/>
        <color theme="1"/>
        <rFont val="宋体"/>
        <charset val="134"/>
      </rPr>
      <t xml:space="preserve">        </t>
    </r>
    <r>
      <rPr>
        <b/>
        <sz val="11"/>
        <color theme="1"/>
        <rFont val="宋体"/>
        <charset val="134"/>
      </rPr>
      <t>单位：万元</t>
    </r>
  </si>
  <si>
    <t>1期</t>
  </si>
  <si>
    <t>2期</t>
  </si>
  <si>
    <t>3期</t>
  </si>
  <si>
    <t>4期</t>
  </si>
  <si>
    <t>5期</t>
  </si>
  <si>
    <t>6期</t>
  </si>
  <si>
    <t>7期</t>
  </si>
  <si>
    <t>8期</t>
  </si>
  <si>
    <t>9期</t>
  </si>
  <si>
    <t>10期</t>
  </si>
  <si>
    <t>11期</t>
  </si>
  <si>
    <t>12期</t>
  </si>
  <si>
    <t>13期</t>
  </si>
  <si>
    <t>14期</t>
  </si>
  <si>
    <t>15期</t>
  </si>
  <si>
    <t xml:space="preserve"> 期初借款本息余额</t>
  </si>
  <si>
    <t>/</t>
  </si>
  <si>
    <t>当期借款</t>
  </si>
  <si>
    <t xml:space="preserve"> 当期应计利息（4.9%）</t>
  </si>
  <si>
    <t>当期还本付息</t>
  </si>
  <si>
    <t xml:space="preserve"> 其中：还本</t>
  </si>
  <si>
    <t xml:space="preserve">              付息</t>
  </si>
  <si>
    <t>财政补贴建设期利息金额</t>
  </si>
  <si>
    <t>财政补贴/支付当年利息</t>
  </si>
  <si>
    <t>期末本息余额</t>
  </si>
  <si>
    <t>假设项目公司在运营期也在年初采用“等额本息”法还本付息，</t>
  </si>
  <si>
    <r>
      <rPr>
        <b/>
        <sz val="14"/>
        <rFont val="宋体"/>
        <charset val="134"/>
      </rPr>
      <t xml:space="preserve">                           东莞环城快速路三期PPP项目政府补贴/付费金额估算表                    </t>
    </r>
    <r>
      <rPr>
        <b/>
        <sz val="11"/>
        <rFont val="宋体"/>
        <charset val="134"/>
      </rPr>
      <t>单位：万元</t>
    </r>
  </si>
  <si>
    <t>收益率</t>
  </si>
  <si>
    <t xml:space="preserve"> 项目合作期政府每年付费金额估算表
（未扣除使用者付费）   （万元）</t>
  </si>
  <si>
    <t>年份</t>
  </si>
  <si>
    <t>付费金额</t>
  </si>
  <si>
    <t>建设期第1年</t>
  </si>
  <si>
    <t>运营期第4年</t>
  </si>
  <si>
    <t>建设期第2年</t>
  </si>
  <si>
    <t>运营期第5年</t>
  </si>
  <si>
    <r>
      <rPr>
        <sz val="9"/>
        <rFont val="宋体"/>
        <charset val="134"/>
      </rPr>
      <t>政府每年补贴/支付金额</t>
    </r>
    <r>
      <rPr>
        <sz val="9"/>
        <color rgb="FFFF0000"/>
        <rFont val="宋体"/>
        <charset val="134"/>
      </rPr>
      <t>（不扣除收益性项目）</t>
    </r>
  </si>
  <si>
    <t>建设期第3年</t>
  </si>
  <si>
    <t>运营期第6年</t>
  </si>
  <si>
    <t>建设期第4年</t>
  </si>
  <si>
    <t>运营期第7年</t>
  </si>
  <si>
    <t>建设期第5年</t>
  </si>
  <si>
    <t>运营期第8年</t>
  </si>
  <si>
    <t>运营期第1年</t>
  </si>
  <si>
    <t>运营期第9年</t>
  </si>
  <si>
    <r>
      <rPr>
        <sz val="9"/>
        <rFont val="宋体"/>
        <charset val="134"/>
      </rPr>
      <t>政府每年补贴/支付金额</t>
    </r>
    <r>
      <rPr>
        <sz val="9"/>
        <color rgb="FFFF0000"/>
        <rFont val="宋体"/>
        <charset val="134"/>
      </rPr>
      <t>（扣除收益性项目后）</t>
    </r>
  </si>
  <si>
    <t>运营期第2年</t>
  </si>
  <si>
    <t>运营期第10年</t>
  </si>
  <si>
    <t>运营期第3年</t>
  </si>
  <si>
    <t>可用性服务费</t>
  </si>
  <si>
    <t xml:space="preserve"> 项目合作期政府每年付费金额估算表
（扣除使用者付费后）   （万元）</t>
  </si>
  <si>
    <t>项目全部投资平均支付</t>
  </si>
  <si>
    <t>项目全部投资收益</t>
  </si>
  <si>
    <t>运营绩效服务费</t>
  </si>
  <si>
    <t>运营成本</t>
  </si>
  <si>
    <t>4.1.1</t>
  </si>
  <si>
    <t>4.1.2</t>
  </si>
  <si>
    <t>路面、隧道、桥梁设施</t>
  </si>
  <si>
    <t>运营人员福利费</t>
  </si>
  <si>
    <t>管理费</t>
  </si>
  <si>
    <r>
      <rPr>
        <b/>
        <sz val="16"/>
        <rFont val="宋体"/>
        <charset val="134"/>
      </rPr>
      <t xml:space="preserve">                    </t>
    </r>
    <r>
      <rPr>
        <b/>
        <sz val="16"/>
        <color rgb="FFFF0000"/>
        <rFont val="宋体"/>
        <charset val="134"/>
      </rPr>
      <t xml:space="preserve">项目利润与利润分配表                 </t>
    </r>
    <r>
      <rPr>
        <b/>
        <sz val="10"/>
        <color rgb="FFFF0000"/>
        <rFont val="宋体"/>
        <charset val="134"/>
      </rPr>
      <t>单位：万元</t>
    </r>
  </si>
  <si>
    <t>营业总收入</t>
  </si>
  <si>
    <t>其他经营性收入</t>
  </si>
  <si>
    <t>补贴收入*</t>
  </si>
  <si>
    <t>支付利息</t>
  </si>
  <si>
    <t>运营维护成本</t>
  </si>
  <si>
    <t>摊销</t>
  </si>
  <si>
    <t>税金及附加&amp;</t>
  </si>
  <si>
    <r>
      <rPr>
        <sz val="10"/>
        <rFont val="宋体"/>
        <charset val="134"/>
      </rPr>
      <t>利润总额（</t>
    </r>
    <r>
      <rPr>
        <sz val="10"/>
        <rFont val="Times New Roman"/>
        <charset val="134"/>
      </rPr>
      <t>1-2</t>
    </r>
    <r>
      <rPr>
        <sz val="10"/>
        <rFont val="宋体"/>
        <charset val="134"/>
      </rPr>
      <t>）</t>
    </r>
  </si>
  <si>
    <t>弥补以前年度亏损</t>
  </si>
  <si>
    <t>调整所得税</t>
  </si>
  <si>
    <r>
      <rPr>
        <sz val="10"/>
        <rFont val="宋体"/>
        <charset val="134"/>
      </rPr>
      <t>所得税</t>
    </r>
  </si>
  <si>
    <r>
      <rPr>
        <sz val="10"/>
        <color rgb="FFFF0000"/>
        <rFont val="宋体"/>
        <charset val="134"/>
      </rPr>
      <t>净利润（</t>
    </r>
    <r>
      <rPr>
        <sz val="10"/>
        <color rgb="FFFF0000"/>
        <rFont val="Times New Roman"/>
        <charset val="134"/>
      </rPr>
      <t>3-6</t>
    </r>
    <r>
      <rPr>
        <sz val="10"/>
        <color rgb="FFFF0000"/>
        <rFont val="宋体"/>
        <charset val="134"/>
      </rPr>
      <t>）</t>
    </r>
  </si>
  <si>
    <t>增值税及附加辅助计算表（单位：万元）</t>
  </si>
  <si>
    <t>本年度应缴纳增值税</t>
  </si>
  <si>
    <t>销项税额</t>
  </si>
  <si>
    <t>销项税额（未扣除土地费用）按6%考虑，如果以后政府要求10%，则由政府补够</t>
  </si>
  <si>
    <t>运营期（使用者付费等10%）</t>
  </si>
  <si>
    <t>进项税额</t>
  </si>
  <si>
    <t>1.2.1</t>
  </si>
  <si>
    <r>
      <rPr>
        <b/>
        <sz val="10"/>
        <rFont val="宋体"/>
        <charset val="134"/>
      </rPr>
      <t xml:space="preserve">  建设期</t>
    </r>
    <r>
      <rPr>
        <b/>
        <sz val="10"/>
        <color rgb="FFFF0000"/>
        <rFont val="宋体"/>
        <charset val="134"/>
      </rPr>
      <t>（建安费、预备费按10%，其他费用按6%）</t>
    </r>
  </si>
  <si>
    <t>1.2.2</t>
  </si>
  <si>
    <r>
      <rPr>
        <b/>
        <sz val="10"/>
        <rFont val="宋体"/>
        <charset val="134"/>
      </rPr>
      <t xml:space="preserve">  运营期</t>
    </r>
    <r>
      <rPr>
        <b/>
        <sz val="10"/>
        <color rgb="FFFF0000"/>
        <rFont val="宋体"/>
        <charset val="134"/>
      </rPr>
      <t>（环卫、绿化、路灯按6%，路面、桥梁、隧道等按10%）</t>
    </r>
  </si>
  <si>
    <t>年度新增增值税（1.1-1.2）</t>
  </si>
  <si>
    <t>转入本年度抵扣的进项税</t>
  </si>
  <si>
    <t>累计待抵扣的进项税（1.3+1.4）</t>
  </si>
  <si>
    <t>附加税费</t>
  </si>
  <si>
    <t xml:space="preserve"> 城市维护建设税（7%）</t>
  </si>
  <si>
    <t xml:space="preserve"> 教育费附加（3%）</t>
  </si>
  <si>
    <t xml:space="preserve"> 地方教育费附加（2%）</t>
  </si>
  <si>
    <r>
      <rPr>
        <b/>
        <sz val="14"/>
        <rFont val="幼圆"/>
        <charset val="134"/>
      </rPr>
      <t xml:space="preserve">                     项目投资现金流量表                         </t>
    </r>
    <r>
      <rPr>
        <b/>
        <sz val="10"/>
        <rFont val="幼圆"/>
        <charset val="134"/>
      </rPr>
      <t xml:space="preserve"> 单位：万元</t>
    </r>
  </si>
  <si>
    <t>现金流入</t>
  </si>
  <si>
    <t xml:space="preserve">  营业收入</t>
  </si>
  <si>
    <t xml:space="preserve">  补贴收入</t>
  </si>
  <si>
    <t xml:space="preserve">  使用者付费</t>
  </si>
  <si>
    <t xml:space="preserve">  回收固定资产残值</t>
  </si>
  <si>
    <t xml:space="preserve">  回收流动资金</t>
  </si>
  <si>
    <t>现金流出</t>
  </si>
  <si>
    <t xml:space="preserve">  建设投资</t>
  </si>
  <si>
    <t xml:space="preserve">  流动资金</t>
  </si>
  <si>
    <t xml:space="preserve">  经营成本</t>
  </si>
  <si>
    <t xml:space="preserve">  营业税金及附加</t>
  </si>
  <si>
    <t xml:space="preserve">  维持运营投资</t>
  </si>
  <si>
    <t>所得税前净现金流</t>
  </si>
  <si>
    <t>累计所得税前现金流</t>
  </si>
  <si>
    <t>所得税后净现金流</t>
  </si>
  <si>
    <t>累计所得税后现金流</t>
  </si>
  <si>
    <t>社会资本投资收益情况</t>
  </si>
  <si>
    <t>项目投资财务内部收益率（%）（所得税前）</t>
  </si>
  <si>
    <t>项目投资财务内部收益率（%）（所得税后）</t>
  </si>
  <si>
    <t>项目投资财务净现值（所得税前）（ic=4.44%）</t>
  </si>
  <si>
    <t>项目投资财务净现值（所得税后）（ic=4.44%）</t>
  </si>
  <si>
    <t>项目投资回收期（年）（所得税前）</t>
  </si>
  <si>
    <t>项目投资回收期（年）（所得税后）</t>
  </si>
  <si>
    <t>全投资所得税前</t>
  </si>
  <si>
    <t>全投资所得税后</t>
  </si>
  <si>
    <r>
      <rPr>
        <sz val="12"/>
        <rFont val="宋体"/>
        <charset val="134"/>
      </rPr>
      <t>N</t>
    </r>
    <r>
      <rPr>
        <sz val="12"/>
        <rFont val="宋体"/>
        <charset val="134"/>
      </rPr>
      <t>PV</t>
    </r>
  </si>
  <si>
    <t>税前</t>
  </si>
  <si>
    <t>随后</t>
  </si>
  <si>
    <r>
      <rPr>
        <b/>
        <sz val="14"/>
        <rFont val="幼圆"/>
        <charset val="134"/>
      </rPr>
      <t xml:space="preserve">                     项目资本金现金流量表                         </t>
    </r>
    <r>
      <rPr>
        <b/>
        <sz val="10"/>
        <rFont val="幼圆"/>
        <charset val="134"/>
      </rPr>
      <t xml:space="preserve"> 单位：万元</t>
    </r>
  </si>
  <si>
    <t>补贴收入</t>
  </si>
  <si>
    <t>回收固定资产残值</t>
  </si>
  <si>
    <t>回收流动资金</t>
  </si>
  <si>
    <t>借款本金偿还</t>
  </si>
  <si>
    <t>借款利息支付</t>
  </si>
  <si>
    <t>经营成本</t>
  </si>
  <si>
    <t>维持运营投资</t>
  </si>
  <si>
    <t>净现金流量</t>
  </si>
  <si>
    <t>累积净现金流量</t>
  </si>
  <si>
    <t>资本金投资财务内部收益率</t>
  </si>
  <si>
    <t>净现值</t>
  </si>
  <si>
    <t>建筑安装工程费用估算表</t>
  </si>
  <si>
    <t>计量单位</t>
  </si>
  <si>
    <t>估算价值</t>
  </si>
  <si>
    <t>工程量</t>
  </si>
  <si>
    <t>单价（元）</t>
  </si>
  <si>
    <t>合价（万元）</t>
  </si>
  <si>
    <t>机动车道路面</t>
  </si>
  <si>
    <t>4cm改性沥青玛蹄脂混凝土（SMA-13）</t>
  </si>
  <si>
    <t>保洁面积</t>
  </si>
  <si>
    <t>5cm中粒式沥青混凝土（AC-20C）</t>
  </si>
  <si>
    <t>6cm中粒式沥青混凝土（AC-20C）</t>
  </si>
  <si>
    <t>绿化面积</t>
  </si>
  <si>
    <t>7cm粗粒式沥青混凝土（AC-25C）</t>
  </si>
  <si>
    <t>8cm粗粒式沥青混凝土（AC-25C）</t>
  </si>
  <si>
    <t>粘层</t>
  </si>
  <si>
    <t>封层</t>
  </si>
  <si>
    <t>透层</t>
  </si>
  <si>
    <t>玻纤格栅</t>
  </si>
  <si>
    <t>18cm 水泥稳定碎石</t>
  </si>
  <si>
    <t>20cm 水泥稳定碎石</t>
  </si>
  <si>
    <t>20cm 水稳石粉渣</t>
  </si>
  <si>
    <t>人行道</t>
  </si>
  <si>
    <t>5cm 人行道板砖</t>
  </si>
  <si>
    <t>2cm 水泥砂浆</t>
  </si>
  <si>
    <t>15cm 水泥稳定碎石</t>
  </si>
  <si>
    <t>道牙</t>
  </si>
  <si>
    <t>花岗岩路缘石</t>
  </si>
  <si>
    <t>花岗岩路平石</t>
  </si>
  <si>
    <t>花岗岩路边石</t>
  </si>
  <si>
    <t>路基防护</t>
  </si>
  <si>
    <t>植草护坡</t>
  </si>
  <si>
    <t>三维网植草护坡</t>
  </si>
  <si>
    <t>钢筋砼框格梁护坡</t>
  </si>
  <si>
    <t>m3</t>
  </si>
  <si>
    <t>片石混凝土挡墙</t>
  </si>
  <si>
    <t>SNS柔性防护网</t>
  </si>
  <si>
    <t>锚杆、横向支撑绳φ16</t>
  </si>
  <si>
    <t>t</t>
  </si>
  <si>
    <t>φ8缝合绳</t>
  </si>
  <si>
    <t>D0/08/300钢丝绳网</t>
  </si>
  <si>
    <t>软基处理</t>
  </si>
  <si>
    <t>换填碎石垫层</t>
  </si>
  <si>
    <t>水泥搅拌桩</t>
  </si>
  <si>
    <t>堆载预压</t>
  </si>
  <si>
    <t>等载土方</t>
  </si>
  <si>
    <t>卸载土方</t>
  </si>
  <si>
    <t>路基排水</t>
  </si>
  <si>
    <t>矩形边沟</t>
  </si>
  <si>
    <t>C30现浇砼</t>
  </si>
  <si>
    <t>纵向碎石盲沟</t>
  </si>
  <si>
    <t>碎石</t>
  </si>
  <si>
    <t>中粗砂</t>
  </si>
  <si>
    <t>横向φ11cmPVC排水管</t>
  </si>
  <si>
    <t>急流槽</t>
  </si>
  <si>
    <t>M7.5浆砌片石</t>
  </si>
  <si>
    <t>C25水泥混凝土</t>
  </si>
  <si>
    <t>开挖土方</t>
  </si>
  <si>
    <t>土石方</t>
  </si>
  <si>
    <t>挖土方</t>
  </si>
  <si>
    <t>场内调配利用，调配运距5km</t>
  </si>
  <si>
    <t>清表</t>
  </si>
  <si>
    <t>弃方，运距10km</t>
  </si>
  <si>
    <t>填方</t>
  </si>
  <si>
    <t>缺方内运</t>
  </si>
  <si>
    <t>运距10km</t>
  </si>
  <si>
    <t>土工格栅</t>
  </si>
  <si>
    <t>预应力砼空心板梁</t>
  </si>
  <si>
    <t>预应力砼现浇箱梁</t>
  </si>
  <si>
    <t>预应力钢砼组合箱梁</t>
  </si>
  <si>
    <t>给排水工程</t>
  </si>
  <si>
    <t>（一）</t>
  </si>
  <si>
    <t>给水工程</t>
  </si>
  <si>
    <t>球墨铸铁给水管DN400</t>
  </si>
  <si>
    <t>球墨铸铁给水管DN600</t>
  </si>
  <si>
    <t>球墨铸铁给水管DN800</t>
  </si>
  <si>
    <t>球墨铸铁给水管DN1600</t>
  </si>
  <si>
    <t>（二）</t>
  </si>
  <si>
    <t>排水工程</t>
  </si>
  <si>
    <t>钢筋混凝土雨水方沟4500*2000</t>
  </si>
  <si>
    <t>钢筋混凝土雨水方沟2400*1050</t>
  </si>
  <si>
    <t>Ⅱ级钢筋混凝土承插排水管 DN2000</t>
  </si>
  <si>
    <t>Ⅱ级钢筋混凝土承插排水管 DN1800</t>
  </si>
  <si>
    <t>Ⅱ级钢筋混凝土承插排水管 DN1500</t>
  </si>
  <si>
    <t>Ⅱ级钢筋混凝土承插排水管 DN1350</t>
  </si>
  <si>
    <t>Ⅱ级钢筋混凝土承插排水管 DN1200</t>
  </si>
  <si>
    <t>Ⅱ级钢筋混凝土承插排水管 DN1000</t>
  </si>
  <si>
    <t>Ⅱ级钢筋混凝土承插排水管 DN800</t>
  </si>
  <si>
    <t>HDPE缠绕结构壁管Sn≥8KN/m2 DN600</t>
  </si>
  <si>
    <t>HDPE缠绕结构壁管Sn≥8KN/m2 DN300</t>
  </si>
  <si>
    <t>矩形直线混凝土雨水检查井2300*1100</t>
  </si>
  <si>
    <t>座</t>
  </si>
  <si>
    <t>矩形直线混凝土雨水检查井2100*1100</t>
  </si>
  <si>
    <t>矩形直线混凝土雨水检查井1800*1100</t>
  </si>
  <si>
    <t>矩形直线混凝土雨水检查井1700*1100</t>
  </si>
  <si>
    <t>矩形直线混凝土雨水检查井1500*1100</t>
  </si>
  <si>
    <t>矩形直线混凝土雨水检查井1300*1100</t>
  </si>
  <si>
    <r>
      <rPr>
        <sz val="10"/>
        <color theme="1"/>
        <rFont val="宋体"/>
        <charset val="134"/>
      </rPr>
      <t>圆形混凝土雨水检查井</t>
    </r>
    <r>
      <rPr>
        <sz val="10"/>
        <color theme="1"/>
        <rFont val="宋体"/>
        <charset val="134"/>
      </rPr>
      <t>Φ1500</t>
    </r>
  </si>
  <si>
    <r>
      <rPr>
        <sz val="10"/>
        <color theme="1"/>
        <rFont val="宋体"/>
        <charset val="134"/>
      </rPr>
      <t>圆形混凝土雨水检查井</t>
    </r>
    <r>
      <rPr>
        <sz val="10"/>
        <color theme="1"/>
        <rFont val="宋体"/>
        <charset val="134"/>
      </rPr>
      <t>Φ1250</t>
    </r>
  </si>
  <si>
    <t>砖砌双箅平箅式雨水口</t>
  </si>
  <si>
    <t>预埋钢筋混凝土管DN1000</t>
  </si>
  <si>
    <t>（三）</t>
  </si>
  <si>
    <t>污水工程</t>
  </si>
  <si>
    <t>HDPE缠绕结构壁管Sn≥8KN/m2 DN400</t>
  </si>
  <si>
    <t>HDPE缠绕结构壁管Sn≥8KN/m2 DN500</t>
  </si>
  <si>
    <t>HDPE缠绕结构壁管Sn≥8KN/m2 DN800</t>
  </si>
  <si>
    <t>HDPE缠绕结构壁管Sn≥8KN/m2 DN1000</t>
  </si>
  <si>
    <t>HDPE缠绕结构壁管Sn≥8KN/m2 DN1200</t>
  </si>
  <si>
    <t>HDPE缠绕结构壁管Sn≥8KN/m2 DN1250</t>
  </si>
  <si>
    <t>矩形直线混凝土污水检查井1500*1100</t>
  </si>
  <si>
    <t>矩形直线混凝土污水检查井1300*1100</t>
  </si>
  <si>
    <r>
      <rPr>
        <sz val="10"/>
        <color theme="1"/>
        <rFont val="宋体"/>
        <charset val="134"/>
      </rPr>
      <t>圆形混凝土污水检查井</t>
    </r>
    <r>
      <rPr>
        <sz val="10"/>
        <color theme="1"/>
        <rFont val="宋体"/>
        <charset val="134"/>
      </rPr>
      <t>Φ1250</t>
    </r>
  </si>
  <si>
    <r>
      <rPr>
        <sz val="10"/>
        <color theme="1"/>
        <rFont val="宋体"/>
        <charset val="134"/>
      </rPr>
      <t>圆形混凝土污水检查井</t>
    </r>
    <r>
      <rPr>
        <sz val="10"/>
        <color theme="1"/>
        <rFont val="宋体"/>
        <charset val="134"/>
      </rPr>
      <t>Φ1000</t>
    </r>
  </si>
  <si>
    <t>电力工程</t>
  </si>
  <si>
    <t>电缆保护管 3*4 BWFRP-∅150</t>
  </si>
  <si>
    <t>电缆保护管 3*6 BWFRP-∅150</t>
  </si>
  <si>
    <t>人孔井</t>
  </si>
  <si>
    <t>通信工程</t>
  </si>
  <si>
    <t>纤维编绕拉挤电缆管 3*3 BWFRP-∅100</t>
  </si>
  <si>
    <t>照明工程</t>
  </si>
  <si>
    <t>km</t>
  </si>
  <si>
    <t>燃气工程</t>
  </si>
  <si>
    <t>燃气钢管DN250</t>
  </si>
  <si>
    <t>燃气钢管DN300</t>
  </si>
  <si>
    <t>燃气钢管DN350</t>
  </si>
  <si>
    <t>交通标志标线工程</t>
  </si>
  <si>
    <t>交通监控工程</t>
  </si>
  <si>
    <t>安全防护</t>
  </si>
  <si>
    <t>环境保护工程费</t>
  </si>
  <si>
    <t>隔音屏</t>
  </si>
  <si>
    <t>其他环境保护工程费</t>
  </si>
  <si>
    <t>项</t>
  </si>
  <si>
    <t>水土保持工程费</t>
  </si>
  <si>
    <t>雨水管线迁改</t>
  </si>
  <si>
    <t>建安工程费合计</t>
  </si>
  <si>
    <t>土地征用及迁移补偿费明细表</t>
  </si>
  <si>
    <t>项目或费用名称</t>
  </si>
  <si>
    <t>标准
（元/㎡）</t>
  </si>
  <si>
    <t>数量
（㎡或户或亩或km）</t>
  </si>
  <si>
    <t>金额</t>
  </si>
  <si>
    <t>征地拆迁补偿</t>
  </si>
  <si>
    <t>征收土地补偿和安置补助费</t>
  </si>
  <si>
    <t>征收农用地补偿费</t>
  </si>
  <si>
    <t>第一类片区</t>
  </si>
  <si>
    <t>第一类片区农用地12.05万元/亩</t>
  </si>
  <si>
    <t>第二类片区</t>
  </si>
  <si>
    <t>第二类片区农用地10万元/亩</t>
  </si>
  <si>
    <t>征收集体建设用地补偿费（宅基地）</t>
  </si>
  <si>
    <t>第一类片区宅基地3000元/㎡</t>
  </si>
  <si>
    <t>第二类片区宅基地2500元/㎡</t>
  </si>
  <si>
    <t>征收集体建设用地补偿费（工业用地）</t>
  </si>
  <si>
    <t>第一类片区工业用地750元/㎡</t>
  </si>
  <si>
    <t>第二类片区工业用地650元/㎡</t>
  </si>
  <si>
    <t>征收集体建设用地补偿费（商业用地）</t>
  </si>
  <si>
    <t>第一类片区商业用地4500元/㎡</t>
  </si>
  <si>
    <t>第二类片区商业用地3500元/㎡</t>
  </si>
  <si>
    <t>青苗补偿费</t>
  </si>
  <si>
    <t>荔枝</t>
  </si>
  <si>
    <t>平均树冠每棵6米（含6米）以上</t>
  </si>
  <si>
    <t>平均树冠每棵6米（含6米）以上4.5万元/亩</t>
  </si>
  <si>
    <t>平均树冠每棵2米（含2米）至6米</t>
  </si>
  <si>
    <t>平均树冠每棵2米（含2米）至6米的4万元/亩</t>
  </si>
  <si>
    <t>平均树冠每棵1米（含1米）至2米</t>
  </si>
  <si>
    <t>平均树冠每棵1米（含1米）至2米的3.5万元/亩</t>
  </si>
  <si>
    <t>其他杂果</t>
  </si>
  <si>
    <t>平均树冠每棵5米（含5米）以上</t>
  </si>
  <si>
    <t>平均树冠每棵5米（含5米）以上的2.5万元/亩</t>
  </si>
  <si>
    <t>平均树冠每棵1米（含1米）至5米</t>
  </si>
  <si>
    <t>平均树冠每棵1米（含1米）至5米的2万元/亩</t>
  </si>
  <si>
    <t>平均树冠每棵1米以下</t>
  </si>
  <si>
    <t>平均树冠每棵1米以下的1万元/亩</t>
  </si>
  <si>
    <t>林木</t>
  </si>
  <si>
    <t>林木0.5万元/亩</t>
  </si>
  <si>
    <t>房屋及附属建筑物补偿费</t>
  </si>
  <si>
    <t>建筑物补偿</t>
  </si>
  <si>
    <t>3.1.1</t>
  </si>
  <si>
    <t>建筑物补偿（住宅）</t>
  </si>
  <si>
    <t>框架结构</t>
  </si>
  <si>
    <t>住宅框架结构3000元/㎡</t>
  </si>
  <si>
    <t>砖混结构</t>
  </si>
  <si>
    <t>住宅砖混结构2500元/㎡</t>
  </si>
  <si>
    <t>夹层（层高≥2.2米）</t>
  </si>
  <si>
    <t>住宅夹层（层高≥2.2米）1500元/㎡</t>
  </si>
  <si>
    <t>夹层（层高＜2.2米）</t>
  </si>
  <si>
    <t>住宅夹层（层高＜2.2米）1000元/㎡</t>
  </si>
  <si>
    <t>3.1.2</t>
  </si>
  <si>
    <t>建筑物补偿（综合楼）</t>
  </si>
  <si>
    <t>综合楼框架结构2500元/㎡</t>
  </si>
  <si>
    <t>综合楼砖混结构2000元/㎡</t>
  </si>
  <si>
    <t>3.1.3</t>
  </si>
  <si>
    <t>建筑物补偿（商业铺面）</t>
  </si>
  <si>
    <t>首层</t>
  </si>
  <si>
    <t>商业铺面首层6000元/㎡</t>
  </si>
  <si>
    <t>二层以上</t>
  </si>
  <si>
    <t>商业铺面二层以上按住宅补偿标准3000元/㎡</t>
  </si>
  <si>
    <t>3.1.4</t>
  </si>
  <si>
    <t>建筑物补偿（厂房）</t>
  </si>
  <si>
    <t>框架厂房</t>
  </si>
  <si>
    <t>框架厂房1500元/㎡</t>
  </si>
  <si>
    <t>砖混厂房、钢结构厂房</t>
  </si>
  <si>
    <t>砖混厂房、钢结构厂房1000元/㎡</t>
  </si>
  <si>
    <t>附属及简易建筑</t>
  </si>
  <si>
    <t>附属及简易建筑400元/㎡</t>
  </si>
  <si>
    <t>建筑物装修</t>
  </si>
  <si>
    <t>3.2.1</t>
  </si>
  <si>
    <t>住宅、综合楼、商业铺面</t>
  </si>
  <si>
    <t>住宅、综合楼、商业铺面装修补偿标准1000元/㎡</t>
  </si>
  <si>
    <t>厂房</t>
  </si>
  <si>
    <t>厂房装修补偿标准500元/㎡</t>
  </si>
  <si>
    <t>搬迁补偿费</t>
  </si>
  <si>
    <t>建筑面积100㎡以下（含100㎡）</t>
  </si>
  <si>
    <t>建筑面积100㎡以下（含100㎡）搬迁补助费2万元/户</t>
  </si>
  <si>
    <t>建筑面积100㎡以上</t>
  </si>
  <si>
    <t>建筑面积100㎡以上搬迁补助费2万元/户</t>
  </si>
  <si>
    <t>不可预见费</t>
  </si>
  <si>
    <t>包干费的10%</t>
  </si>
  <si>
    <t>征地拆迁补偿合计</t>
  </si>
  <si>
    <t>管线搬迁及补偿</t>
  </si>
  <si>
    <t>燃气管线</t>
  </si>
  <si>
    <t>1、数量单位：km。
2、暂列金额。具体实施金额以管线权属单位改造实施为准。</t>
  </si>
  <si>
    <t>给水管线</t>
  </si>
  <si>
    <t>污水管线</t>
  </si>
  <si>
    <t>电力管线</t>
  </si>
  <si>
    <t>埋地电力管线</t>
  </si>
  <si>
    <t xml:space="preserve">10KV高压线（含电塔） </t>
  </si>
  <si>
    <t>35KV高压线（含电塔）</t>
  </si>
  <si>
    <t>110KV高压线（含电塔）</t>
  </si>
  <si>
    <t>200KV高压线（含电塔）</t>
  </si>
  <si>
    <t>电信管线</t>
  </si>
  <si>
    <t>管线搬迁及补偿费用合计</t>
  </si>
  <si>
    <t>铁路相关费用</t>
  </si>
  <si>
    <t>建设项目管理费（代建费）</t>
  </si>
  <si>
    <t>该部分费用按标准计算并由建设单位报市政府同意后再纳入工程投资。本次暂不列入工程投资规模。</t>
  </si>
  <si>
    <t>铁路土地占用管理费</t>
  </si>
  <si>
    <t>其他铁路相关费</t>
  </si>
  <si>
    <t>技术服务费</t>
  </si>
  <si>
    <t>铁路施工安全配合费</t>
  </si>
  <si>
    <t>铁路设备安全监控费</t>
  </si>
  <si>
    <t>风险包干费</t>
  </si>
  <si>
    <t>铁路相关费用合计</t>
  </si>
</sst>
</file>

<file path=xl/styles.xml><?xml version="1.0" encoding="utf-8"?>
<styleSheet xmlns="http://schemas.openxmlformats.org/spreadsheetml/2006/main">
  <numFmts count="16">
    <numFmt numFmtId="43" formatCode="_ * #,##0.00_ ;_ * \-#,##0.00_ ;_ * &quot;-&quot;??_ ;_ @_ "/>
    <numFmt numFmtId="44" formatCode="_ &quot;￥&quot;* #,##0.00_ ;_ &quot;￥&quot;* \-#,##0.00_ ;_ &quot;￥&quot;* &quot;-&quot;??_ ;_ @_ "/>
    <numFmt numFmtId="42" formatCode="_ &quot;￥&quot;* #,##0_ ;_ &quot;￥&quot;* \-#,##0_ ;_ &quot;￥&quot;* &quot;-&quot;_ ;_ @_ "/>
    <numFmt numFmtId="41" formatCode="_ * #,##0_ ;_ * \-#,##0_ ;_ * &quot;-&quot;_ ;_ @_ "/>
    <numFmt numFmtId="176" formatCode="#,##0.00_ "/>
    <numFmt numFmtId="177" formatCode="0.0000_ ;[Red]\-0.0000\ "/>
    <numFmt numFmtId="178" formatCode="0_);[Red]\(0\)"/>
    <numFmt numFmtId="179" formatCode="0.00_ ;[Red]\-0.00\ "/>
    <numFmt numFmtId="180" formatCode="0.00_ "/>
    <numFmt numFmtId="181" formatCode="#,##0_ "/>
    <numFmt numFmtId="182" formatCode="0.00_);[Red]\(0.00\)"/>
    <numFmt numFmtId="183" formatCode="#,##0_);[Red]\(#,##0\)"/>
    <numFmt numFmtId="184" formatCode="#,##0.00_ ;[Red]\-#,##0.00\ "/>
    <numFmt numFmtId="185" formatCode="#,##0.00_);[Red]\(#,##0.00\)"/>
    <numFmt numFmtId="186" formatCode="\¥#,##0.00;[Red]\¥\-#,##0.00"/>
    <numFmt numFmtId="187" formatCode="0_ "/>
  </numFmts>
  <fonts count="100">
    <font>
      <sz val="12"/>
      <name val="宋体"/>
      <charset val="134"/>
    </font>
    <font>
      <b/>
      <sz val="14"/>
      <name val="Times New Roman"/>
      <charset val="134"/>
    </font>
    <font>
      <sz val="14"/>
      <name val="Times New Roman"/>
      <charset val="134"/>
    </font>
    <font>
      <b/>
      <sz val="14"/>
      <color indexed="8"/>
      <name val="宋体"/>
      <charset val="134"/>
      <scheme val="minor"/>
    </font>
    <font>
      <sz val="10"/>
      <color indexed="8"/>
      <name val="宋体"/>
      <charset val="134"/>
      <scheme val="minor"/>
    </font>
    <font>
      <b/>
      <sz val="10"/>
      <color indexed="8"/>
      <name val="宋体"/>
      <charset val="134"/>
      <scheme val="minor"/>
    </font>
    <font>
      <sz val="10"/>
      <name val="宋体"/>
      <charset val="134"/>
      <scheme val="minor"/>
    </font>
    <font>
      <b/>
      <sz val="10"/>
      <name val="宋体"/>
      <charset val="134"/>
      <scheme val="minor"/>
    </font>
    <font>
      <sz val="10"/>
      <name val="Times New Roman"/>
      <charset val="134"/>
    </font>
    <font>
      <b/>
      <sz val="14"/>
      <color theme="1"/>
      <name val="宋体"/>
      <charset val="134"/>
      <scheme val="minor"/>
    </font>
    <font>
      <b/>
      <sz val="10"/>
      <name val="宋体"/>
      <charset val="134"/>
    </font>
    <font>
      <sz val="10"/>
      <color theme="1"/>
      <name val="宋体"/>
      <charset val="134"/>
      <scheme val="minor"/>
    </font>
    <font>
      <b/>
      <sz val="14"/>
      <name val="宋体"/>
      <charset val="134"/>
    </font>
    <font>
      <b/>
      <sz val="12"/>
      <name val="宋体"/>
      <charset val="134"/>
    </font>
    <font>
      <sz val="10"/>
      <color rgb="FF000000"/>
      <name val="宋体"/>
      <charset val="134"/>
      <scheme val="minor"/>
    </font>
    <font>
      <sz val="12"/>
      <name val="宋体"/>
      <charset val="134"/>
    </font>
    <font>
      <sz val="10"/>
      <name val="宋体"/>
      <charset val="134"/>
    </font>
    <font>
      <sz val="12"/>
      <name val="Times New Roman"/>
      <charset val="134"/>
    </font>
    <font>
      <b/>
      <sz val="10"/>
      <color theme="1"/>
      <name val="宋体"/>
      <charset val="134"/>
      <scheme val="minor"/>
    </font>
    <font>
      <sz val="14"/>
      <name val="宋体"/>
      <charset val="134"/>
    </font>
    <font>
      <sz val="9"/>
      <name val="宋体"/>
      <charset val="134"/>
    </font>
    <font>
      <b/>
      <sz val="14"/>
      <name val="幼圆"/>
      <charset val="134"/>
    </font>
    <font>
      <sz val="8"/>
      <name val="宋体"/>
      <charset val="134"/>
    </font>
    <font>
      <sz val="9"/>
      <color theme="1"/>
      <name val="宋体"/>
      <charset val="134"/>
      <scheme val="minor"/>
    </font>
    <font>
      <b/>
      <sz val="9"/>
      <name val="宋体"/>
      <charset val="134"/>
    </font>
    <font>
      <b/>
      <sz val="16"/>
      <name val="宋体"/>
      <charset val="134"/>
    </font>
    <font>
      <b/>
      <sz val="10"/>
      <name val="Times New Roman"/>
      <charset val="134"/>
    </font>
    <font>
      <sz val="10"/>
      <color rgb="FFFF0000"/>
      <name val="宋体"/>
      <charset val="134"/>
    </font>
    <font>
      <b/>
      <sz val="10"/>
      <color rgb="FFFF0000"/>
      <name val="宋体"/>
      <charset val="134"/>
    </font>
    <font>
      <sz val="10"/>
      <color rgb="FFFF0000"/>
      <name val="Times New Roman"/>
      <charset val="134"/>
    </font>
    <font>
      <b/>
      <sz val="12"/>
      <color rgb="FFFF0000"/>
      <name val="幼圆"/>
      <charset val="134"/>
    </font>
    <font>
      <b/>
      <sz val="12"/>
      <color theme="1"/>
      <name val="幼圆"/>
      <charset val="134"/>
    </font>
    <font>
      <sz val="12"/>
      <color rgb="FFFF0000"/>
      <name val="宋体"/>
      <charset val="134"/>
    </font>
    <font>
      <b/>
      <sz val="9"/>
      <name val="宋体"/>
      <charset val="134"/>
      <scheme val="minor"/>
    </font>
    <font>
      <sz val="9"/>
      <name val="宋体"/>
      <charset val="134"/>
      <scheme val="minor"/>
    </font>
    <font>
      <b/>
      <sz val="13"/>
      <name val="宋体"/>
      <charset val="134"/>
    </font>
    <font>
      <b/>
      <sz val="12"/>
      <color rgb="FFFF0000"/>
      <name val="宋体"/>
      <charset val="134"/>
    </font>
    <font>
      <b/>
      <sz val="11"/>
      <color indexed="8"/>
      <name val="宋体"/>
      <charset val="134"/>
    </font>
    <font>
      <sz val="9"/>
      <color indexed="8"/>
      <name val="宋体"/>
      <charset val="134"/>
    </font>
    <font>
      <sz val="9"/>
      <color indexed="18"/>
      <name val="宋体"/>
      <charset val="134"/>
    </font>
    <font>
      <sz val="11"/>
      <color indexed="8"/>
      <name val="宋体"/>
      <charset val="134"/>
    </font>
    <font>
      <b/>
      <sz val="9"/>
      <color theme="1"/>
      <name val="宋体"/>
      <charset val="134"/>
      <scheme val="minor"/>
    </font>
    <font>
      <sz val="10"/>
      <color indexed="8"/>
      <name val="宋体"/>
      <charset val="134"/>
    </font>
    <font>
      <b/>
      <sz val="14"/>
      <color rgb="FFFF0000"/>
      <name val="宋体"/>
      <charset val="134"/>
    </font>
    <font>
      <sz val="15"/>
      <color rgb="FFFF0000"/>
      <name val="宋体"/>
      <charset val="134"/>
    </font>
    <font>
      <b/>
      <sz val="12"/>
      <name val="Times New Roman"/>
      <charset val="134"/>
    </font>
    <font>
      <b/>
      <sz val="12"/>
      <name val="宋体"/>
      <charset val="134"/>
      <scheme val="minor"/>
    </font>
    <font>
      <sz val="12"/>
      <color rgb="FF0070C0"/>
      <name val="宋体"/>
      <charset val="134"/>
      <scheme val="minor"/>
    </font>
    <font>
      <sz val="12"/>
      <name val="宋体"/>
      <charset val="134"/>
      <scheme val="minor"/>
    </font>
    <font>
      <b/>
      <sz val="16"/>
      <name val="宋体"/>
      <charset val="134"/>
      <scheme val="minor"/>
    </font>
    <font>
      <sz val="12"/>
      <color rgb="FFFF0000"/>
      <name val="宋体"/>
      <charset val="134"/>
      <scheme val="minor"/>
    </font>
    <font>
      <sz val="12"/>
      <color rgb="FF000000"/>
      <name val="微软雅黑"/>
      <charset val="134"/>
    </font>
    <font>
      <b/>
      <sz val="12"/>
      <color rgb="FF000000"/>
      <name val="宋体"/>
      <charset val="134"/>
    </font>
    <font>
      <b/>
      <sz val="10.5"/>
      <color rgb="FF000000"/>
      <name val="宋体"/>
      <charset val="134"/>
    </font>
    <font>
      <b/>
      <sz val="9"/>
      <color rgb="FF000000"/>
      <name val="宋体"/>
      <charset val="134"/>
    </font>
    <font>
      <sz val="12"/>
      <color rgb="FF000000"/>
      <name val="宋体"/>
      <charset val="134"/>
    </font>
    <font>
      <sz val="10.5"/>
      <color rgb="FF000000"/>
      <name val="宋体"/>
      <charset val="134"/>
    </font>
    <font>
      <sz val="9"/>
      <name val="Times New Roman"/>
      <charset val="134"/>
    </font>
    <font>
      <sz val="11"/>
      <name val="Times New Roman"/>
      <charset val="134"/>
    </font>
    <font>
      <b/>
      <sz val="10"/>
      <color theme="1"/>
      <name val="Times New Roman"/>
      <charset val="134"/>
    </font>
    <font>
      <sz val="10"/>
      <color theme="1"/>
      <name val="Times New Roman"/>
      <charset val="134"/>
    </font>
    <font>
      <sz val="6"/>
      <name val="Times New Roman"/>
      <charset val="134"/>
    </font>
    <font>
      <sz val="7"/>
      <name val="Times New Roman"/>
      <charset val="134"/>
    </font>
    <font>
      <sz val="8"/>
      <name val="Times New Roman"/>
      <charset val="134"/>
    </font>
    <font>
      <b/>
      <sz val="16"/>
      <color theme="1"/>
      <name val="宋体"/>
      <charset val="134"/>
      <scheme val="minor"/>
    </font>
    <font>
      <sz val="11"/>
      <color indexed="10"/>
      <name val="宋体"/>
      <charset val="134"/>
    </font>
    <font>
      <sz val="10"/>
      <color indexed="18"/>
      <name val="宋体"/>
      <charset val="134"/>
    </font>
    <font>
      <sz val="10"/>
      <color theme="1"/>
      <name val="宋体"/>
      <charset val="134"/>
    </font>
    <font>
      <sz val="11"/>
      <color indexed="18"/>
      <name val="宋体"/>
      <charset val="134"/>
    </font>
    <font>
      <b/>
      <sz val="10"/>
      <color theme="1"/>
      <name val="宋体"/>
      <charset val="134"/>
    </font>
    <font>
      <sz val="11"/>
      <color theme="1"/>
      <name val="宋体"/>
      <charset val="0"/>
      <scheme val="minor"/>
    </font>
    <font>
      <sz val="11"/>
      <color rgb="FF006100"/>
      <name val="宋体"/>
      <charset val="0"/>
      <scheme val="minor"/>
    </font>
    <font>
      <sz val="11"/>
      <color theme="1"/>
      <name val="宋体"/>
      <charset val="134"/>
      <scheme val="minor"/>
    </font>
    <font>
      <b/>
      <sz val="13"/>
      <color theme="3"/>
      <name val="宋体"/>
      <charset val="134"/>
      <scheme val="minor"/>
    </font>
    <font>
      <sz val="11"/>
      <color rgb="FF9C0006"/>
      <name val="宋体"/>
      <charset val="0"/>
      <scheme val="minor"/>
    </font>
    <font>
      <sz val="11"/>
      <color theme="0"/>
      <name val="宋体"/>
      <charset val="0"/>
      <scheme val="minor"/>
    </font>
    <font>
      <sz val="11"/>
      <color rgb="FFFA7D00"/>
      <name val="宋体"/>
      <charset val="0"/>
      <scheme val="minor"/>
    </font>
    <font>
      <b/>
      <sz val="15"/>
      <color theme="3"/>
      <name val="宋体"/>
      <charset val="134"/>
      <scheme val="minor"/>
    </font>
    <font>
      <sz val="11"/>
      <color rgb="FFFF0000"/>
      <name val="宋体"/>
      <charset val="0"/>
      <scheme val="minor"/>
    </font>
    <font>
      <b/>
      <sz val="11"/>
      <color theme="3"/>
      <name val="宋体"/>
      <charset val="134"/>
      <scheme val="minor"/>
    </font>
    <font>
      <sz val="11"/>
      <color rgb="FF3F3F76"/>
      <name val="宋体"/>
      <charset val="0"/>
      <scheme val="minor"/>
    </font>
    <font>
      <sz val="11"/>
      <color rgb="FF9C6500"/>
      <name val="宋体"/>
      <charset val="0"/>
      <scheme val="minor"/>
    </font>
    <font>
      <b/>
      <sz val="11"/>
      <color rgb="FF3F3F3F"/>
      <name val="宋体"/>
      <charset val="0"/>
      <scheme val="minor"/>
    </font>
    <font>
      <u/>
      <sz val="11"/>
      <color rgb="FF0000FF"/>
      <name val="宋体"/>
      <charset val="0"/>
      <scheme val="minor"/>
    </font>
    <font>
      <b/>
      <sz val="11"/>
      <color theme="1"/>
      <name val="宋体"/>
      <charset val="0"/>
      <scheme val="minor"/>
    </font>
    <font>
      <b/>
      <sz val="11"/>
      <color rgb="FFFA7D00"/>
      <name val="宋体"/>
      <charset val="0"/>
      <scheme val="minor"/>
    </font>
    <font>
      <i/>
      <sz val="11"/>
      <color rgb="FF7F7F7F"/>
      <name val="宋体"/>
      <charset val="0"/>
      <scheme val="minor"/>
    </font>
    <font>
      <u/>
      <sz val="11"/>
      <color rgb="FF800080"/>
      <name val="宋体"/>
      <charset val="0"/>
      <scheme val="minor"/>
    </font>
    <font>
      <b/>
      <sz val="11"/>
      <color rgb="FFFFFFFF"/>
      <name val="宋体"/>
      <charset val="0"/>
      <scheme val="minor"/>
    </font>
    <font>
      <b/>
      <sz val="18"/>
      <color theme="3"/>
      <name val="宋体"/>
      <charset val="134"/>
      <scheme val="minor"/>
    </font>
    <font>
      <b/>
      <sz val="10"/>
      <name val="幼圆"/>
      <charset val="134"/>
    </font>
    <font>
      <b/>
      <sz val="16"/>
      <color rgb="FFFF0000"/>
      <name val="宋体"/>
      <charset val="134"/>
    </font>
    <font>
      <b/>
      <sz val="11"/>
      <name val="宋体"/>
      <charset val="134"/>
    </font>
    <font>
      <sz val="9"/>
      <color rgb="FFFF0000"/>
      <name val="宋体"/>
      <charset val="134"/>
    </font>
    <font>
      <b/>
      <sz val="11"/>
      <color theme="1"/>
      <name val="宋体"/>
      <charset val="134"/>
      <scheme val="minor"/>
    </font>
    <font>
      <b/>
      <sz val="14"/>
      <color theme="1"/>
      <name val="幼圆"/>
      <charset val="134"/>
    </font>
    <font>
      <b/>
      <sz val="16"/>
      <color theme="1"/>
      <name val="宋体"/>
      <charset val="134"/>
    </font>
    <font>
      <b/>
      <sz val="11"/>
      <color theme="1"/>
      <name val="宋体"/>
      <charset val="134"/>
    </font>
    <font>
      <sz val="14"/>
      <color rgb="FF000000"/>
      <name val="微软雅黑"/>
      <charset val="134"/>
    </font>
    <font>
      <b/>
      <sz val="11"/>
      <color theme="1"/>
      <name val="幼圆"/>
      <charset val="134"/>
    </font>
  </fonts>
  <fills count="40">
    <fill>
      <patternFill patternType="none"/>
    </fill>
    <fill>
      <patternFill patternType="gray125"/>
    </fill>
    <fill>
      <patternFill patternType="solid">
        <fgColor rgb="FFFFFFFF"/>
        <bgColor indexed="64"/>
      </patternFill>
    </fill>
    <fill>
      <patternFill patternType="solid">
        <fgColor theme="0" tint="-0.349986266670736"/>
        <bgColor indexed="64"/>
      </patternFill>
    </fill>
    <fill>
      <patternFill patternType="solid">
        <fgColor rgb="FF00B0F0"/>
        <bgColor indexed="64"/>
      </patternFill>
    </fill>
    <fill>
      <patternFill patternType="solid">
        <fgColor rgb="FFFFFF00"/>
        <bgColor indexed="64"/>
      </patternFill>
    </fill>
    <fill>
      <patternFill patternType="solid">
        <fgColor rgb="FFFFC000"/>
        <bgColor indexed="64"/>
      </patternFill>
    </fill>
    <fill>
      <patternFill patternType="solid">
        <fgColor rgb="FFEDEDED"/>
        <bgColor indexed="64"/>
      </patternFill>
    </fill>
    <fill>
      <patternFill patternType="solid">
        <fgColor rgb="FF00B050"/>
        <bgColor indexed="64"/>
      </patternFill>
    </fill>
    <fill>
      <patternFill patternType="solid">
        <fgColor theme="8" tint="0.799981688894314"/>
        <bgColor indexed="64"/>
      </patternFill>
    </fill>
    <fill>
      <patternFill patternType="solid">
        <fgColor rgb="FFC6EFCE"/>
        <bgColor indexed="64"/>
      </patternFill>
    </fill>
    <fill>
      <patternFill patternType="solid">
        <fgColor theme="6" tint="0.599993896298105"/>
        <bgColor indexed="64"/>
      </patternFill>
    </fill>
    <fill>
      <patternFill patternType="solid">
        <fgColor rgb="FFFFC7CE"/>
        <bgColor indexed="64"/>
      </patternFill>
    </fill>
    <fill>
      <patternFill patternType="solid">
        <fgColor theme="9" tint="0.399975585192419"/>
        <bgColor indexed="64"/>
      </patternFill>
    </fill>
    <fill>
      <patternFill patternType="solid">
        <fgColor theme="9"/>
        <bgColor indexed="64"/>
      </patternFill>
    </fill>
    <fill>
      <patternFill patternType="solid">
        <fgColor theme="8" tint="0.599993896298105"/>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rgb="FFFFFFCC"/>
        <bgColor indexed="64"/>
      </patternFill>
    </fill>
    <fill>
      <patternFill patternType="solid">
        <fgColor rgb="FFFFCC9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rgb="FFFFEB9C"/>
        <bgColor indexed="64"/>
      </patternFill>
    </fill>
    <fill>
      <patternFill patternType="solid">
        <fgColor theme="9" tint="0.599993896298105"/>
        <bgColor indexed="64"/>
      </patternFill>
    </fill>
    <fill>
      <patternFill patternType="solid">
        <fgColor theme="7"/>
        <bgColor indexed="64"/>
      </patternFill>
    </fill>
    <fill>
      <patternFill patternType="solid">
        <fgColor rgb="FFF2F2F2"/>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6"/>
        <bgColor indexed="64"/>
      </patternFill>
    </fill>
    <fill>
      <patternFill patternType="solid">
        <fgColor theme="4" tint="0.799981688894314"/>
        <bgColor indexed="64"/>
      </patternFill>
    </fill>
    <fill>
      <patternFill patternType="solid">
        <fgColor theme="4"/>
        <bgColor indexed="64"/>
      </patternFill>
    </fill>
    <fill>
      <patternFill patternType="solid">
        <fgColor theme="5"/>
        <bgColor indexed="64"/>
      </patternFill>
    </fill>
    <fill>
      <patternFill patternType="solid">
        <fgColor theme="8"/>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rgb="FFA5A5A5"/>
        <bgColor indexed="64"/>
      </patternFill>
    </fill>
    <fill>
      <patternFill patternType="solid">
        <fgColor theme="4" tint="0.399975585192419"/>
        <bgColor indexed="64"/>
      </patternFill>
    </fill>
  </fills>
  <borders count="37">
    <border>
      <left/>
      <right/>
      <top/>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right/>
      <top/>
      <bottom style="thin">
        <color auto="1"/>
      </bottom>
      <diagonal/>
    </border>
    <border>
      <left/>
      <right/>
      <top style="thin">
        <color auto="1"/>
      </top>
      <bottom/>
      <diagonal/>
    </border>
    <border>
      <left/>
      <right/>
      <top style="thin">
        <color auto="1"/>
      </top>
      <bottom style="thin">
        <color auto="1"/>
      </bottom>
      <diagonal/>
    </border>
    <border>
      <left style="medium">
        <color auto="1"/>
      </left>
      <right style="thin">
        <color auto="1"/>
      </right>
      <top style="medium">
        <color auto="1"/>
      </top>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right style="thin">
        <color auto="1"/>
      </right>
      <top/>
      <bottom/>
      <diagonal/>
    </border>
    <border>
      <left style="thin">
        <color auto="1"/>
      </left>
      <right/>
      <top/>
      <bottom/>
      <diagonal/>
    </border>
    <border>
      <left style="medium">
        <color auto="1"/>
      </left>
      <right style="medium">
        <color auto="1"/>
      </right>
      <top style="medium">
        <color auto="1"/>
      </top>
      <bottom/>
      <diagonal/>
    </border>
    <border>
      <left/>
      <right style="medium">
        <color auto="1"/>
      </right>
      <top style="medium">
        <color auto="1"/>
      </top>
      <bottom/>
      <diagonal/>
    </border>
    <border>
      <left style="medium">
        <color auto="1"/>
      </left>
      <right style="medium">
        <color auto="1"/>
      </right>
      <top/>
      <bottom/>
      <diagonal/>
    </border>
    <border>
      <left/>
      <right style="medium">
        <color auto="1"/>
      </right>
      <top/>
      <bottom/>
      <diagonal/>
    </border>
    <border>
      <left style="medium">
        <color auto="1"/>
      </left>
      <right style="thin">
        <color auto="1"/>
      </right>
      <top/>
      <bottom/>
      <diagonal/>
    </border>
    <border>
      <left style="medium">
        <color auto="1"/>
      </left>
      <right style="medium">
        <color auto="1"/>
      </right>
      <top/>
      <bottom style="medium">
        <color auto="1"/>
      </bottom>
      <diagonal/>
    </border>
    <border>
      <left/>
      <right style="medium">
        <color auto="1"/>
      </right>
      <top/>
      <bottom style="medium">
        <color auto="1"/>
      </bottom>
      <diagonal/>
    </border>
    <border>
      <left style="medium">
        <color auto="1"/>
      </left>
      <right style="thin">
        <color auto="1"/>
      </right>
      <top/>
      <bottom style="medium">
        <color auto="1"/>
      </bottom>
      <diagonal/>
    </border>
    <border>
      <left style="medium">
        <color auto="1"/>
      </left>
      <right/>
      <top style="medium">
        <color auto="1"/>
      </top>
      <bottom style="medium">
        <color auto="1"/>
      </bottom>
      <diagonal/>
    </border>
    <border>
      <left/>
      <right/>
      <top/>
      <bottom style="medium">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52">
    <xf numFmtId="0" fontId="0" fillId="0" borderId="0">
      <alignment vertical="center"/>
    </xf>
    <xf numFmtId="42" fontId="72" fillId="0" borderId="0" applyFont="0" applyFill="0" applyBorder="0" applyAlignment="0" applyProtection="0">
      <alignment vertical="center"/>
    </xf>
    <xf numFmtId="0" fontId="70" fillId="17" borderId="0" applyNumberFormat="0" applyBorder="0" applyAlignment="0" applyProtection="0">
      <alignment vertical="center"/>
    </xf>
    <xf numFmtId="0" fontId="80" fillId="20" borderId="32" applyNumberFormat="0" applyAlignment="0" applyProtection="0">
      <alignment vertical="center"/>
    </xf>
    <xf numFmtId="44" fontId="72" fillId="0" borderId="0" applyFont="0" applyFill="0" applyBorder="0" applyAlignment="0" applyProtection="0">
      <alignment vertical="center"/>
    </xf>
    <xf numFmtId="41" fontId="72" fillId="0" borderId="0" applyFont="0" applyFill="0" applyBorder="0" applyAlignment="0" applyProtection="0">
      <alignment vertical="center"/>
    </xf>
    <xf numFmtId="0" fontId="70" fillId="11" borderId="0" applyNumberFormat="0" applyBorder="0" applyAlignment="0" applyProtection="0">
      <alignment vertical="center"/>
    </xf>
    <xf numFmtId="0" fontId="74" fillId="12" borderId="0" applyNumberFormat="0" applyBorder="0" applyAlignment="0" applyProtection="0">
      <alignment vertical="center"/>
    </xf>
    <xf numFmtId="43" fontId="72" fillId="0" borderId="0" applyFont="0" applyFill="0" applyBorder="0" applyAlignment="0" applyProtection="0">
      <alignment vertical="center"/>
    </xf>
    <xf numFmtId="0" fontId="75" fillId="16" borderId="0" applyNumberFormat="0" applyBorder="0" applyAlignment="0" applyProtection="0">
      <alignment vertical="center"/>
    </xf>
    <xf numFmtId="0" fontId="83" fillId="0" borderId="0" applyNumberFormat="0" applyFill="0" applyBorder="0" applyAlignment="0" applyProtection="0">
      <alignment vertical="center"/>
    </xf>
    <xf numFmtId="9" fontId="72" fillId="0" borderId="0" applyFont="0" applyFill="0" applyBorder="0" applyAlignment="0" applyProtection="0">
      <alignment vertical="center"/>
    </xf>
    <xf numFmtId="0" fontId="87" fillId="0" borderId="0" applyNumberFormat="0" applyFill="0" applyBorder="0" applyAlignment="0" applyProtection="0">
      <alignment vertical="center"/>
    </xf>
    <xf numFmtId="0" fontId="72" fillId="19" borderId="31" applyNumberFormat="0" applyFont="0" applyAlignment="0" applyProtection="0">
      <alignment vertical="center"/>
    </xf>
    <xf numFmtId="0" fontId="75" fillId="29" borderId="0" applyNumberFormat="0" applyBorder="0" applyAlignment="0" applyProtection="0">
      <alignment vertical="center"/>
    </xf>
    <xf numFmtId="0" fontId="79"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77" fillId="0" borderId="29" applyNumberFormat="0" applyFill="0" applyAlignment="0" applyProtection="0">
      <alignment vertical="center"/>
    </xf>
    <xf numFmtId="0" fontId="73" fillId="0" borderId="29" applyNumberFormat="0" applyFill="0" applyAlignment="0" applyProtection="0">
      <alignment vertical="center"/>
    </xf>
    <xf numFmtId="0" fontId="75" fillId="39" borderId="0" applyNumberFormat="0" applyBorder="0" applyAlignment="0" applyProtection="0">
      <alignment vertical="center"/>
    </xf>
    <xf numFmtId="0" fontId="79" fillId="0" borderId="35" applyNumberFormat="0" applyFill="0" applyAlignment="0" applyProtection="0">
      <alignment vertical="center"/>
    </xf>
    <xf numFmtId="0" fontId="75" fillId="28" borderId="0" applyNumberFormat="0" applyBorder="0" applyAlignment="0" applyProtection="0">
      <alignment vertical="center"/>
    </xf>
    <xf numFmtId="0" fontId="82" fillId="27" borderId="33" applyNumberFormat="0" applyAlignment="0" applyProtection="0">
      <alignment vertical="center"/>
    </xf>
    <xf numFmtId="0" fontId="85" fillId="27" borderId="32" applyNumberFormat="0" applyAlignment="0" applyProtection="0">
      <alignment vertical="center"/>
    </xf>
    <xf numFmtId="0" fontId="88" fillId="38" borderId="36" applyNumberFormat="0" applyAlignment="0" applyProtection="0">
      <alignment vertical="center"/>
    </xf>
    <xf numFmtId="0" fontId="70" fillId="37" borderId="0" applyNumberFormat="0" applyBorder="0" applyAlignment="0" applyProtection="0">
      <alignment vertical="center"/>
    </xf>
    <xf numFmtId="0" fontId="75" fillId="33" borderId="0" applyNumberFormat="0" applyBorder="0" applyAlignment="0" applyProtection="0">
      <alignment vertical="center"/>
    </xf>
    <xf numFmtId="0" fontId="76" fillId="0" borderId="30" applyNumberFormat="0" applyFill="0" applyAlignment="0" applyProtection="0">
      <alignment vertical="center"/>
    </xf>
    <xf numFmtId="0" fontId="84" fillId="0" borderId="34" applyNumberFormat="0" applyFill="0" applyAlignment="0" applyProtection="0">
      <alignment vertical="center"/>
    </xf>
    <xf numFmtId="0" fontId="71" fillId="10" borderId="0" applyNumberFormat="0" applyBorder="0" applyAlignment="0" applyProtection="0">
      <alignment vertical="center"/>
    </xf>
    <xf numFmtId="0" fontId="81" fillId="24" borderId="0" applyNumberFormat="0" applyBorder="0" applyAlignment="0" applyProtection="0">
      <alignment vertical="center"/>
    </xf>
    <xf numFmtId="0" fontId="70" fillId="9" borderId="0" applyNumberFormat="0" applyBorder="0" applyAlignment="0" applyProtection="0">
      <alignment vertical="center"/>
    </xf>
    <xf numFmtId="0" fontId="75" fillId="32" borderId="0" applyNumberFormat="0" applyBorder="0" applyAlignment="0" applyProtection="0">
      <alignment vertical="center"/>
    </xf>
    <xf numFmtId="0" fontId="70" fillId="31" borderId="0" applyNumberFormat="0" applyBorder="0" applyAlignment="0" applyProtection="0">
      <alignment vertical="center"/>
    </xf>
    <xf numFmtId="0" fontId="70" fillId="23" borderId="0" applyNumberFormat="0" applyBorder="0" applyAlignment="0" applyProtection="0">
      <alignment vertical="center"/>
    </xf>
    <xf numFmtId="0" fontId="70" fillId="22" borderId="0" applyNumberFormat="0" applyBorder="0" applyAlignment="0" applyProtection="0">
      <alignment vertical="center"/>
    </xf>
    <xf numFmtId="0" fontId="70" fillId="36" borderId="0" applyNumberFormat="0" applyBorder="0" applyAlignment="0" applyProtection="0">
      <alignment vertical="center"/>
    </xf>
    <xf numFmtId="0" fontId="75" fillId="30" borderId="0" applyNumberFormat="0" applyBorder="0" applyAlignment="0" applyProtection="0">
      <alignment vertical="center"/>
    </xf>
    <xf numFmtId="0" fontId="75" fillId="26" borderId="0" applyNumberFormat="0" applyBorder="0" applyAlignment="0" applyProtection="0">
      <alignment vertical="center"/>
    </xf>
    <xf numFmtId="0" fontId="70" fillId="21" borderId="0" applyNumberFormat="0" applyBorder="0" applyAlignment="0" applyProtection="0">
      <alignment vertical="center"/>
    </xf>
    <xf numFmtId="0" fontId="70" fillId="35" borderId="0" applyNumberFormat="0" applyBorder="0" applyAlignment="0" applyProtection="0">
      <alignment vertical="center"/>
    </xf>
    <xf numFmtId="0" fontId="75" fillId="34" borderId="0" applyNumberFormat="0" applyBorder="0" applyAlignment="0" applyProtection="0">
      <alignment vertical="center"/>
    </xf>
    <xf numFmtId="0" fontId="70" fillId="15" borderId="0" applyNumberFormat="0" applyBorder="0" applyAlignment="0" applyProtection="0">
      <alignment vertical="center"/>
    </xf>
    <xf numFmtId="0" fontId="75" fillId="18" borderId="0" applyNumberFormat="0" applyBorder="0" applyAlignment="0" applyProtection="0">
      <alignment vertical="center"/>
    </xf>
    <xf numFmtId="0" fontId="75" fillId="14" borderId="0" applyNumberFormat="0" applyBorder="0" applyAlignment="0" applyProtection="0">
      <alignment vertical="center"/>
    </xf>
    <xf numFmtId="0" fontId="70" fillId="25" borderId="0" applyNumberFormat="0" applyBorder="0" applyAlignment="0" applyProtection="0">
      <alignment vertical="center"/>
    </xf>
    <xf numFmtId="0" fontId="75" fillId="13" borderId="0" applyNumberFormat="0" applyBorder="0" applyAlignment="0" applyProtection="0">
      <alignment vertical="center"/>
    </xf>
    <xf numFmtId="0" fontId="15" fillId="0" borderId="0"/>
    <xf numFmtId="0" fontId="15" fillId="0" borderId="0"/>
    <xf numFmtId="0" fontId="15" fillId="0" borderId="0"/>
  </cellStyleXfs>
  <cellXfs count="636">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50" applyFont="1" applyBorder="1" applyAlignment="1">
      <alignment horizontal="center" vertical="center" wrapText="1"/>
    </xf>
    <xf numFmtId="0" fontId="3" fillId="0" borderId="0" xfId="50" applyFont="1" applyBorder="1" applyAlignment="1">
      <alignment horizontal="center" vertical="center"/>
    </xf>
    <xf numFmtId="0" fontId="4" fillId="0" borderId="1" xfId="50" applyNumberFormat="1" applyFont="1" applyBorder="1" applyAlignment="1">
      <alignment horizontal="center" vertical="center" wrapText="1"/>
    </xf>
    <xf numFmtId="0" fontId="4" fillId="0" borderId="2" xfId="50" applyNumberFormat="1" applyFont="1" applyBorder="1" applyAlignment="1">
      <alignment horizontal="center" vertical="center" wrapText="1"/>
    </xf>
    <xf numFmtId="0" fontId="4" fillId="0" borderId="3" xfId="50" applyNumberFormat="1" applyFont="1" applyBorder="1" applyAlignment="1">
      <alignment horizontal="center" vertical="center" wrapText="1"/>
    </xf>
    <xf numFmtId="0" fontId="4" fillId="0" borderId="1" xfId="50" applyFont="1" applyFill="1" applyBorder="1" applyAlignment="1">
      <alignment horizontal="center" vertical="center" wrapText="1"/>
    </xf>
    <xf numFmtId="0" fontId="4" fillId="0" borderId="4" xfId="50" applyFont="1" applyBorder="1" applyAlignment="1">
      <alignment horizontal="center" vertical="center" wrapText="1"/>
    </xf>
    <xf numFmtId="0" fontId="4" fillId="0" borderId="5" xfId="50" applyNumberFormat="1" applyFont="1" applyBorder="1" applyAlignment="1">
      <alignment horizontal="center" vertical="center" wrapText="1"/>
    </xf>
    <xf numFmtId="0" fontId="4" fillId="0" borderId="6" xfId="50" applyNumberFormat="1" applyFont="1" applyBorder="1" applyAlignment="1">
      <alignment horizontal="center" vertical="center" wrapText="1"/>
    </xf>
    <xf numFmtId="0" fontId="4" fillId="0" borderId="7" xfId="50" applyNumberFormat="1" applyFont="1" applyBorder="1" applyAlignment="1">
      <alignment horizontal="center" vertical="center" wrapText="1"/>
    </xf>
    <xf numFmtId="0" fontId="4" fillId="0" borderId="5" xfId="50" applyFont="1" applyFill="1" applyBorder="1" applyAlignment="1">
      <alignment horizontal="center" vertical="center" wrapText="1"/>
    </xf>
    <xf numFmtId="0" fontId="5" fillId="0" borderId="5" xfId="50" applyNumberFormat="1" applyFont="1" applyBorder="1" applyAlignment="1">
      <alignment horizontal="center" vertical="center" wrapText="1"/>
    </xf>
    <xf numFmtId="0" fontId="5" fillId="0" borderId="8" xfId="50" applyNumberFormat="1" applyFont="1" applyBorder="1" applyAlignment="1">
      <alignment horizontal="center" vertical="center" wrapText="1"/>
    </xf>
    <xf numFmtId="0" fontId="5" fillId="0" borderId="9" xfId="50" applyNumberFormat="1" applyFont="1" applyBorder="1" applyAlignment="1">
      <alignment horizontal="center" vertical="center" wrapText="1"/>
    </xf>
    <xf numFmtId="0" fontId="5" fillId="0" borderId="5" xfId="50" applyFont="1" applyFill="1" applyBorder="1" applyAlignment="1">
      <alignment horizontal="center" vertical="center" wrapText="1"/>
    </xf>
    <xf numFmtId="0" fontId="5" fillId="0" borderId="4" xfId="50" applyFont="1" applyBorder="1" applyAlignment="1">
      <alignment horizontal="center" vertical="center" wrapText="1"/>
    </xf>
    <xf numFmtId="0" fontId="5" fillId="0" borderId="8" xfId="50" applyFont="1" applyBorder="1" applyAlignment="1">
      <alignment horizontal="center" vertical="center" wrapText="1"/>
    </xf>
    <xf numFmtId="0" fontId="5" fillId="0" borderId="9" xfId="50" applyFont="1" applyBorder="1" applyAlignment="1">
      <alignment horizontal="center" vertical="center" wrapText="1"/>
    </xf>
    <xf numFmtId="0" fontId="5" fillId="0" borderId="4" xfId="50" applyFont="1" applyFill="1" applyBorder="1" applyAlignment="1">
      <alignment horizontal="center" vertical="center" wrapText="1"/>
    </xf>
    <xf numFmtId="180" fontId="5" fillId="0" borderId="4" xfId="50" applyNumberFormat="1" applyFont="1" applyBorder="1" applyAlignment="1">
      <alignment horizontal="center" vertical="center" wrapText="1"/>
    </xf>
    <xf numFmtId="0" fontId="4" fillId="0" borderId="4" xfId="50" applyNumberFormat="1" applyFont="1" applyBorder="1" applyAlignment="1">
      <alignment horizontal="left" vertical="center" wrapText="1"/>
    </xf>
    <xf numFmtId="0" fontId="4" fillId="0" borderId="1" xfId="50" applyFont="1" applyBorder="1" applyAlignment="1">
      <alignment horizontal="center" vertical="center" wrapText="1"/>
    </xf>
    <xf numFmtId="0" fontId="4" fillId="0" borderId="4" xfId="50" applyFont="1" applyFill="1" applyBorder="1" applyAlignment="1">
      <alignment horizontal="center" vertical="center" wrapText="1"/>
    </xf>
    <xf numFmtId="180" fontId="4" fillId="0" borderId="4" xfId="50" applyNumberFormat="1" applyFont="1" applyBorder="1" applyAlignment="1">
      <alignment horizontal="center" vertical="center" wrapText="1"/>
    </xf>
    <xf numFmtId="0" fontId="6" fillId="0" borderId="4" xfId="50" applyNumberFormat="1" applyFont="1" applyFill="1" applyBorder="1" applyAlignment="1">
      <alignment horizontal="left" vertical="center" wrapText="1"/>
    </xf>
    <xf numFmtId="0" fontId="4" fillId="0" borderId="5" xfId="50" applyFont="1" applyBorder="1" applyAlignment="1">
      <alignment horizontal="center" vertical="center" wrapText="1"/>
    </xf>
    <xf numFmtId="0" fontId="4" fillId="0" borderId="10"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9" xfId="50" applyFont="1" applyBorder="1" applyAlignment="1">
      <alignment horizontal="center" vertical="center" wrapText="1"/>
    </xf>
    <xf numFmtId="0" fontId="5" fillId="0" borderId="4" xfId="50" applyNumberFormat="1" applyFont="1" applyBorder="1" applyAlignment="1">
      <alignment horizontal="left" vertical="center" wrapText="1"/>
    </xf>
    <xf numFmtId="0" fontId="4" fillId="0" borderId="4" xfId="50" applyNumberFormat="1" applyFont="1" applyFill="1" applyBorder="1" applyAlignment="1">
      <alignment horizontal="center" vertical="center" wrapText="1"/>
    </xf>
    <xf numFmtId="0" fontId="6" fillId="0" borderId="4" xfId="50" applyFont="1" applyFill="1" applyBorder="1" applyAlignment="1">
      <alignment horizontal="left" vertical="center" wrapText="1"/>
    </xf>
    <xf numFmtId="0" fontId="4" fillId="0" borderId="4" xfId="50" applyNumberFormat="1" applyFont="1" applyFill="1" applyBorder="1" applyAlignment="1">
      <alignment vertical="center"/>
    </xf>
    <xf numFmtId="180" fontId="5" fillId="0" borderId="4" xfId="50" applyNumberFormat="1" applyFont="1" applyBorder="1" applyAlignment="1">
      <alignment horizontal="center" vertical="center"/>
    </xf>
    <xf numFmtId="0" fontId="5" fillId="0" borderId="8" xfId="50" applyFont="1" applyFill="1" applyBorder="1" applyAlignment="1">
      <alignment horizontal="center" vertical="center" wrapText="1"/>
    </xf>
    <xf numFmtId="0" fontId="5" fillId="0" borderId="9" xfId="50" applyFont="1" applyFill="1" applyBorder="1" applyAlignment="1">
      <alignment horizontal="center" vertical="center" wrapText="1"/>
    </xf>
    <xf numFmtId="0" fontId="7" fillId="0" borderId="4" xfId="50" applyFont="1" applyBorder="1" applyAlignment="1">
      <alignment horizontal="center" vertical="center" wrapText="1"/>
    </xf>
    <xf numFmtId="0" fontId="7" fillId="0" borderId="8" xfId="50" applyFont="1" applyBorder="1" applyAlignment="1">
      <alignment horizontal="center" vertical="center" wrapText="1"/>
    </xf>
    <xf numFmtId="0" fontId="7" fillId="0" borderId="9" xfId="50" applyFont="1" applyBorder="1" applyAlignment="1">
      <alignment horizontal="center" vertical="center" wrapText="1"/>
    </xf>
    <xf numFmtId="0" fontId="6" fillId="0" borderId="4" xfId="50" applyFont="1" applyBorder="1" applyAlignment="1">
      <alignment horizontal="center" vertical="center" wrapText="1"/>
    </xf>
    <xf numFmtId="0" fontId="6" fillId="0" borderId="8" xfId="50" applyFont="1" applyBorder="1" applyAlignment="1">
      <alignment horizontal="center" vertical="center" wrapText="1"/>
    </xf>
    <xf numFmtId="0" fontId="6" fillId="0" borderId="9" xfId="50" applyFont="1" applyBorder="1" applyAlignment="1">
      <alignment horizontal="center" vertical="center" wrapText="1"/>
    </xf>
    <xf numFmtId="180" fontId="6" fillId="0" borderId="4" xfId="50" applyNumberFormat="1" applyFont="1" applyBorder="1" applyAlignment="1">
      <alignment horizontal="center" vertical="center" wrapText="1"/>
    </xf>
    <xf numFmtId="0" fontId="6" fillId="0" borderId="1" xfId="50" applyFont="1" applyBorder="1" applyAlignment="1">
      <alignment horizontal="left" vertical="center" wrapText="1"/>
    </xf>
    <xf numFmtId="0" fontId="6" fillId="0" borderId="10" xfId="50" applyFont="1" applyBorder="1" applyAlignment="1">
      <alignment horizontal="left" vertical="center" wrapText="1"/>
    </xf>
    <xf numFmtId="0" fontId="6" fillId="0" borderId="5" xfId="50" applyFont="1" applyBorder="1" applyAlignment="1">
      <alignment horizontal="left" vertical="center" wrapText="1"/>
    </xf>
    <xf numFmtId="10" fontId="5" fillId="0" borderId="4" xfId="50" applyNumberFormat="1" applyFont="1" applyFill="1" applyBorder="1" applyAlignment="1">
      <alignment horizontal="center" vertical="center" wrapText="1"/>
    </xf>
    <xf numFmtId="0" fontId="5" fillId="0" borderId="4" xfId="50" applyFont="1" applyFill="1" applyBorder="1" applyAlignment="1">
      <alignment horizontal="center" vertical="top" wrapText="1"/>
    </xf>
    <xf numFmtId="180" fontId="7" fillId="0" borderId="4" xfId="50" applyNumberFormat="1" applyFont="1" applyBorder="1" applyAlignment="1">
      <alignment horizontal="center" vertical="center" wrapText="1"/>
    </xf>
    <xf numFmtId="0" fontId="6" fillId="0" borderId="4" xfId="50" applyFont="1" applyBorder="1" applyAlignment="1">
      <alignment horizontal="left" vertical="center" wrapText="1"/>
    </xf>
    <xf numFmtId="0" fontId="6" fillId="0" borderId="1" xfId="50" applyFont="1" applyBorder="1" applyAlignment="1">
      <alignment horizontal="center" vertical="center" wrapText="1"/>
    </xf>
    <xf numFmtId="0" fontId="6" fillId="0" borderId="10" xfId="50" applyFont="1" applyBorder="1" applyAlignment="1">
      <alignment horizontal="center" vertical="center" wrapText="1"/>
    </xf>
    <xf numFmtId="10" fontId="4" fillId="0" borderId="4" xfId="50" applyNumberFormat="1" applyFont="1" applyFill="1" applyBorder="1" applyAlignment="1">
      <alignment horizontal="center" vertical="center" wrapText="1"/>
    </xf>
    <xf numFmtId="0" fontId="4" fillId="0" borderId="4" xfId="50" applyFont="1" applyFill="1" applyBorder="1" applyAlignment="1">
      <alignment horizontal="center" vertical="top" wrapText="1"/>
    </xf>
    <xf numFmtId="0" fontId="6" fillId="0" borderId="5" xfId="50" applyFont="1" applyBorder="1" applyAlignment="1">
      <alignment horizontal="center" vertical="center" wrapText="1"/>
    </xf>
    <xf numFmtId="0" fontId="8" fillId="0" borderId="4" xfId="0" applyFont="1" applyBorder="1">
      <alignment vertical="center"/>
    </xf>
    <xf numFmtId="180" fontId="2" fillId="0" borderId="0" xfId="0" applyNumberFormat="1" applyFont="1">
      <alignment vertical="center"/>
    </xf>
    <xf numFmtId="0" fontId="9" fillId="0" borderId="11" xfId="0" applyFont="1" applyBorder="1" applyAlignment="1">
      <alignment horizontal="center" vertical="center"/>
    </xf>
    <xf numFmtId="0" fontId="10" fillId="0" borderId="4" xfId="0" applyFont="1" applyBorder="1" applyAlignment="1">
      <alignment horizontal="center" vertical="center" wrapText="1"/>
    </xf>
    <xf numFmtId="178" fontId="11" fillId="0" borderId="1" xfId="0" applyNumberFormat="1" applyFont="1" applyFill="1" applyBorder="1" applyAlignment="1">
      <alignment horizontal="center" vertical="center"/>
    </xf>
    <xf numFmtId="182" fontId="11" fillId="0" borderId="1" xfId="0" applyNumberFormat="1" applyFont="1" applyBorder="1" applyAlignment="1">
      <alignment horizontal="center" vertical="center"/>
    </xf>
    <xf numFmtId="0" fontId="12" fillId="0" borderId="0" xfId="0" applyFont="1">
      <alignment vertical="center"/>
    </xf>
    <xf numFmtId="0" fontId="13" fillId="0" borderId="4" xfId="0" applyFont="1" applyBorder="1" applyAlignment="1">
      <alignment horizontal="center" vertical="center"/>
    </xf>
    <xf numFmtId="0" fontId="10" fillId="0" borderId="4" xfId="0" applyFont="1" applyBorder="1" applyAlignment="1">
      <alignment horizontal="center" vertical="center"/>
    </xf>
    <xf numFmtId="0" fontId="14" fillId="2" borderId="4" xfId="0" applyFont="1" applyFill="1" applyBorder="1" applyAlignment="1">
      <alignment horizontal="center" vertical="top" wrapText="1"/>
    </xf>
    <xf numFmtId="0" fontId="1" fillId="0" borderId="4" xfId="0" applyFont="1" applyBorder="1">
      <alignment vertical="center"/>
    </xf>
    <xf numFmtId="0" fontId="2" fillId="0" borderId="4" xfId="0" applyFont="1" applyBorder="1">
      <alignment vertical="center"/>
    </xf>
    <xf numFmtId="0" fontId="15" fillId="0" borderId="4" xfId="0" applyFont="1" applyBorder="1" applyAlignment="1">
      <alignment horizontal="center" vertical="center"/>
    </xf>
    <xf numFmtId="0" fontId="16" fillId="0" borderId="4" xfId="0" applyFont="1" applyBorder="1" applyAlignment="1">
      <alignment horizontal="center" vertical="center"/>
    </xf>
    <xf numFmtId="0" fontId="17" fillId="0" borderId="4" xfId="0" applyFont="1" applyBorder="1" applyAlignment="1">
      <alignment horizontal="center" vertical="center"/>
    </xf>
    <xf numFmtId="0" fontId="8" fillId="0" borderId="4" xfId="0" applyFont="1" applyBorder="1" applyAlignment="1">
      <alignment horizontal="center" vertical="center"/>
    </xf>
    <xf numFmtId="0" fontId="11" fillId="0" borderId="4" xfId="0" applyFont="1" applyBorder="1" applyAlignment="1">
      <alignment horizontal="center" vertical="center"/>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1" xfId="0" applyFont="1" applyBorder="1" applyAlignment="1">
      <alignment horizontal="center" vertical="center" wrapText="1"/>
    </xf>
    <xf numFmtId="0" fontId="11" fillId="0" borderId="6" xfId="0" applyFont="1" applyBorder="1" applyAlignment="1">
      <alignment horizontal="center" vertical="center"/>
    </xf>
    <xf numFmtId="0" fontId="11" fillId="0" borderId="7" xfId="0" applyFont="1" applyBorder="1" applyAlignment="1">
      <alignment horizontal="center" vertical="center"/>
    </xf>
    <xf numFmtId="0" fontId="11" fillId="0" borderId="5" xfId="0" applyFont="1" applyBorder="1" applyAlignment="1">
      <alignment horizontal="center" vertical="center" wrapText="1"/>
    </xf>
    <xf numFmtId="0" fontId="11" fillId="0" borderId="4" xfId="0" applyFont="1" applyFill="1" applyBorder="1" applyAlignment="1">
      <alignment horizontal="center" vertical="center"/>
    </xf>
    <xf numFmtId="178" fontId="11" fillId="0" borderId="4" xfId="0" applyNumberFormat="1" applyFont="1" applyFill="1" applyBorder="1" applyAlignment="1">
      <alignment horizontal="center" vertical="center"/>
    </xf>
    <xf numFmtId="182" fontId="11" fillId="0" borderId="4" xfId="0" applyNumberFormat="1" applyFont="1" applyBorder="1" applyAlignment="1">
      <alignment horizontal="center" vertical="center"/>
    </xf>
    <xf numFmtId="0" fontId="18" fillId="0" borderId="4" xfId="0" applyFont="1" applyBorder="1" applyAlignment="1">
      <alignment horizontal="center" vertical="center"/>
    </xf>
    <xf numFmtId="0" fontId="18" fillId="0" borderId="8" xfId="0" applyFont="1" applyBorder="1" applyAlignment="1">
      <alignment horizontal="center" vertical="center"/>
    </xf>
    <xf numFmtId="0" fontId="18" fillId="0" borderId="9" xfId="0" applyFont="1" applyBorder="1" applyAlignment="1">
      <alignment horizontal="center" vertical="center"/>
    </xf>
    <xf numFmtId="0" fontId="18" fillId="0" borderId="4" xfId="0" applyFont="1" applyFill="1" applyBorder="1" applyAlignment="1">
      <alignment vertical="center"/>
    </xf>
    <xf numFmtId="178" fontId="18" fillId="0" borderId="4" xfId="0" applyNumberFormat="1" applyFont="1" applyFill="1" applyBorder="1" applyAlignment="1">
      <alignment vertical="center"/>
    </xf>
    <xf numFmtId="182" fontId="18" fillId="0" borderId="4" xfId="0" applyNumberFormat="1" applyFont="1" applyBorder="1" applyAlignment="1">
      <alignment vertical="center"/>
    </xf>
    <xf numFmtId="0" fontId="18" fillId="0" borderId="4" xfId="0" applyFont="1" applyBorder="1" applyAlignment="1">
      <alignment vertical="center"/>
    </xf>
    <xf numFmtId="0" fontId="11" fillId="0" borderId="8" xfId="0" applyFont="1" applyBorder="1" applyAlignment="1">
      <alignment horizontal="left" vertical="center"/>
    </xf>
    <xf numFmtId="0" fontId="11" fillId="0" borderId="9" xfId="0" applyFont="1" applyBorder="1" applyAlignment="1">
      <alignment horizontal="left" vertical="center"/>
    </xf>
    <xf numFmtId="178" fontId="11" fillId="0" borderId="4" xfId="0" applyNumberFormat="1" applyFont="1" applyFill="1" applyBorder="1" applyAlignment="1">
      <alignment vertical="center"/>
    </xf>
    <xf numFmtId="182" fontId="11" fillId="0" borderId="4" xfId="0" applyNumberFormat="1" applyFont="1" applyBorder="1" applyAlignment="1">
      <alignment vertical="center"/>
    </xf>
    <xf numFmtId="0" fontId="11" fillId="0" borderId="4" xfId="0" applyFont="1" applyBorder="1" applyAlignment="1">
      <alignment vertical="center"/>
    </xf>
    <xf numFmtId="0" fontId="11" fillId="0" borderId="8" xfId="0" applyFont="1" applyBorder="1" applyAlignment="1">
      <alignment horizontal="center" vertical="center"/>
    </xf>
    <xf numFmtId="0" fontId="11" fillId="0" borderId="9" xfId="0" applyFont="1" applyBorder="1" applyAlignment="1">
      <alignment horizontal="center" vertical="center"/>
    </xf>
    <xf numFmtId="0" fontId="11" fillId="0" borderId="1" xfId="0" applyFont="1" applyBorder="1" applyAlignment="1">
      <alignment horizontal="center" vertical="center"/>
    </xf>
    <xf numFmtId="182" fontId="11" fillId="0" borderId="4" xfId="0" applyNumberFormat="1" applyFont="1" applyFill="1" applyBorder="1" applyAlignment="1">
      <alignment vertical="center"/>
    </xf>
    <xf numFmtId="0" fontId="11" fillId="0" borderId="10" xfId="0" applyFont="1" applyBorder="1" applyAlignment="1">
      <alignment horizontal="center" vertical="center"/>
    </xf>
    <xf numFmtId="0" fontId="11" fillId="0" borderId="5" xfId="0" applyFont="1" applyBorder="1" applyAlignment="1">
      <alignment horizontal="center" vertical="center"/>
    </xf>
    <xf numFmtId="0" fontId="11" fillId="0" borderId="4" xfId="0" applyFont="1" applyBorder="1" applyAlignment="1">
      <alignment horizontal="left" vertical="center"/>
    </xf>
    <xf numFmtId="0" fontId="11" fillId="0" borderId="4" xfId="0" applyFont="1" applyBorder="1" applyAlignment="1">
      <alignment horizontal="center" vertical="center" wrapText="1"/>
    </xf>
    <xf numFmtId="0" fontId="11" fillId="0" borderId="4" xfId="0" applyFont="1" applyFill="1" applyBorder="1" applyAlignment="1">
      <alignment vertical="center"/>
    </xf>
    <xf numFmtId="0" fontId="19" fillId="0" borderId="0" xfId="0" applyFont="1">
      <alignment vertical="center"/>
    </xf>
    <xf numFmtId="178" fontId="2" fillId="0" borderId="0" xfId="0" applyNumberFormat="1" applyFont="1">
      <alignment vertical="center"/>
    </xf>
    <xf numFmtId="0" fontId="0" fillId="0" borderId="0" xfId="0" applyFill="1" applyBorder="1">
      <alignment vertical="center"/>
    </xf>
    <xf numFmtId="0" fontId="20" fillId="0" borderId="0" xfId="0" applyFont="1" applyFill="1">
      <alignment vertical="center"/>
    </xf>
    <xf numFmtId="0" fontId="0" fillId="0" borderId="0" xfId="0" applyFill="1">
      <alignment vertical="center"/>
    </xf>
    <xf numFmtId="0" fontId="21" fillId="0" borderId="11" xfId="0" applyFont="1" applyFill="1" applyBorder="1" applyAlignment="1">
      <alignment horizontal="center" vertical="center"/>
    </xf>
    <xf numFmtId="0" fontId="15" fillId="0" borderId="4" xfId="0" applyFont="1" applyFill="1" applyBorder="1" applyAlignment="1">
      <alignment horizontal="center" vertical="center"/>
    </xf>
    <xf numFmtId="179" fontId="15" fillId="0" borderId="1" xfId="0" applyNumberFormat="1" applyFont="1" applyFill="1" applyBorder="1" applyAlignment="1">
      <alignment horizontal="center" vertical="center"/>
    </xf>
    <xf numFmtId="0" fontId="13" fillId="0" borderId="4" xfId="0" applyFont="1" applyFill="1" applyBorder="1" applyAlignment="1">
      <alignment horizontal="center" vertical="center"/>
    </xf>
    <xf numFmtId="179" fontId="15" fillId="0" borderId="10" xfId="0" applyNumberFormat="1" applyFont="1" applyFill="1" applyBorder="1" applyAlignment="1">
      <alignment horizontal="center" vertical="center"/>
    </xf>
    <xf numFmtId="0" fontId="16" fillId="0" borderId="4" xfId="0" applyFont="1" applyFill="1" applyBorder="1" applyAlignment="1">
      <alignment horizontal="center" vertical="center"/>
    </xf>
    <xf numFmtId="179" fontId="15" fillId="0" borderId="5" xfId="0" applyNumberFormat="1" applyFont="1" applyFill="1" applyBorder="1" applyAlignment="1">
      <alignment horizontal="center" vertical="center"/>
    </xf>
    <xf numFmtId="0" fontId="8" fillId="0" borderId="1" xfId="0" applyNumberFormat="1" applyFont="1" applyFill="1" applyBorder="1" applyAlignment="1">
      <alignment horizontal="center" vertical="center" wrapText="1"/>
    </xf>
    <xf numFmtId="179" fontId="10" fillId="0" borderId="1" xfId="0" applyNumberFormat="1" applyFont="1" applyFill="1" applyBorder="1" applyAlignment="1">
      <alignment horizontal="center" vertical="center" wrapText="1"/>
    </xf>
    <xf numFmtId="179" fontId="18" fillId="0" borderId="4" xfId="0" applyNumberFormat="1" applyFont="1" applyFill="1" applyBorder="1" applyAlignment="1">
      <alignment vertical="center" wrapText="1"/>
    </xf>
    <xf numFmtId="184" fontId="20" fillId="0" borderId="4" xfId="0" applyNumberFormat="1" applyFont="1" applyFill="1" applyBorder="1">
      <alignment vertical="center"/>
    </xf>
    <xf numFmtId="0" fontId="8" fillId="0" borderId="10" xfId="0" applyNumberFormat="1" applyFont="1" applyFill="1" applyBorder="1" applyAlignment="1">
      <alignment horizontal="center" vertical="center" wrapText="1"/>
    </xf>
    <xf numFmtId="179" fontId="10" fillId="0" borderId="10" xfId="0" applyNumberFormat="1" applyFont="1" applyFill="1" applyBorder="1" applyAlignment="1">
      <alignment horizontal="center" vertical="center" wrapText="1"/>
    </xf>
    <xf numFmtId="179" fontId="11" fillId="0" borderId="4" xfId="0" applyNumberFormat="1" applyFont="1" applyFill="1" applyBorder="1" applyAlignment="1">
      <alignment vertical="center" wrapText="1"/>
    </xf>
    <xf numFmtId="0" fontId="8" fillId="0" borderId="5" xfId="0" applyNumberFormat="1" applyFont="1" applyFill="1" applyBorder="1" applyAlignment="1">
      <alignment horizontal="center" vertical="center" wrapText="1"/>
    </xf>
    <xf numFmtId="179" fontId="10" fillId="0" borderId="5" xfId="0" applyNumberFormat="1" applyFont="1" applyFill="1" applyBorder="1" applyAlignment="1">
      <alignment horizontal="center" vertical="center" wrapText="1"/>
    </xf>
    <xf numFmtId="179" fontId="11" fillId="0" borderId="1" xfId="0" applyNumberFormat="1" applyFont="1" applyFill="1" applyBorder="1" applyAlignment="1">
      <alignment vertical="center" wrapText="1"/>
    </xf>
    <xf numFmtId="184" fontId="20" fillId="0" borderId="1" xfId="0" applyNumberFormat="1" applyFont="1" applyFill="1" applyBorder="1">
      <alignment vertical="center"/>
    </xf>
    <xf numFmtId="0" fontId="8" fillId="0" borderId="0" xfId="0" applyNumberFormat="1" applyFont="1" applyFill="1" applyBorder="1" applyAlignment="1">
      <alignment horizontal="center" vertical="center" wrapText="1"/>
    </xf>
    <xf numFmtId="179" fontId="10" fillId="0" borderId="0" xfId="0" applyNumberFormat="1" applyFont="1" applyFill="1" applyBorder="1" applyAlignment="1">
      <alignment horizontal="center" vertical="center" wrapText="1"/>
    </xf>
    <xf numFmtId="0" fontId="8" fillId="0" borderId="4" xfId="0" applyNumberFormat="1" applyFont="1" applyFill="1" applyBorder="1" applyAlignment="1">
      <alignment horizontal="center" vertical="center" wrapText="1"/>
    </xf>
    <xf numFmtId="184" fontId="10" fillId="0" borderId="4" xfId="0" applyNumberFormat="1" applyFont="1" applyFill="1" applyBorder="1" applyAlignment="1">
      <alignment horizontal="center" vertical="center" wrapText="1"/>
    </xf>
    <xf numFmtId="184" fontId="8" fillId="0" borderId="4" xfId="0" applyNumberFormat="1" applyFont="1" applyFill="1" applyBorder="1" applyAlignment="1">
      <alignment horizontal="center" vertical="center" wrapText="1"/>
    </xf>
    <xf numFmtId="179" fontId="11" fillId="0" borderId="5" xfId="0" applyNumberFormat="1" applyFont="1" applyFill="1" applyBorder="1" applyAlignment="1">
      <alignment vertical="center" wrapText="1"/>
    </xf>
    <xf numFmtId="184" fontId="20" fillId="0" borderId="5" xfId="0" applyNumberFormat="1" applyFont="1" applyFill="1" applyBorder="1">
      <alignment vertical="center"/>
    </xf>
    <xf numFmtId="184" fontId="8" fillId="0" borderId="10" xfId="0" applyNumberFormat="1" applyFont="1" applyFill="1" applyBorder="1" applyAlignment="1">
      <alignment horizontal="center" vertical="center" wrapText="1"/>
    </xf>
    <xf numFmtId="184" fontId="10" fillId="0" borderId="10" xfId="0" applyNumberFormat="1" applyFont="1" applyFill="1" applyBorder="1" applyAlignment="1">
      <alignment horizontal="center" vertical="center" wrapText="1"/>
    </xf>
    <xf numFmtId="184" fontId="8" fillId="0" borderId="1" xfId="0" applyNumberFormat="1" applyFont="1" applyFill="1" applyBorder="1" applyAlignment="1">
      <alignment horizontal="center" vertical="center" wrapText="1"/>
    </xf>
    <xf numFmtId="184" fontId="10" fillId="0" borderId="1" xfId="0" applyNumberFormat="1" applyFont="1" applyFill="1" applyBorder="1" applyAlignment="1">
      <alignment horizontal="center" vertical="center" wrapText="1"/>
    </xf>
    <xf numFmtId="184" fontId="22" fillId="0" borderId="4" xfId="0" applyNumberFormat="1" applyFont="1" applyFill="1" applyBorder="1">
      <alignment vertical="center"/>
    </xf>
    <xf numFmtId="10" fontId="20" fillId="0" borderId="0" xfId="0" applyNumberFormat="1" applyFont="1" applyFill="1" applyBorder="1">
      <alignment vertical="center"/>
    </xf>
    <xf numFmtId="179" fontId="16" fillId="0" borderId="12" xfId="0" applyNumberFormat="1" applyFont="1" applyFill="1" applyBorder="1">
      <alignment vertical="center"/>
    </xf>
    <xf numFmtId="0" fontId="11" fillId="0" borderId="0" xfId="0" applyFont="1" applyFill="1" applyBorder="1" applyAlignment="1">
      <alignment horizontal="center" vertical="center"/>
    </xf>
    <xf numFmtId="184" fontId="20" fillId="0" borderId="0" xfId="0" applyNumberFormat="1" applyFont="1" applyFill="1" applyBorder="1">
      <alignment vertical="center"/>
    </xf>
    <xf numFmtId="0" fontId="23" fillId="0" borderId="0" xfId="0" applyFont="1" applyFill="1" applyBorder="1" applyAlignment="1">
      <alignment horizontal="center" vertical="center"/>
    </xf>
    <xf numFmtId="184" fontId="20" fillId="0" borderId="0" xfId="0" applyNumberFormat="1" applyFont="1" applyFill="1">
      <alignment vertical="center"/>
    </xf>
    <xf numFmtId="10" fontId="0" fillId="0" borderId="0" xfId="0" applyNumberFormat="1" applyFill="1">
      <alignment vertical="center"/>
    </xf>
    <xf numFmtId="186" fontId="0" fillId="0" borderId="0" xfId="0" applyNumberFormat="1" applyFill="1">
      <alignment vertical="center"/>
    </xf>
    <xf numFmtId="0" fontId="15" fillId="0" borderId="0" xfId="0" applyFont="1" applyFill="1" applyAlignment="1">
      <alignment vertical="center" wrapText="1"/>
    </xf>
    <xf numFmtId="184" fontId="22" fillId="0" borderId="0" xfId="0" applyNumberFormat="1" applyFont="1" applyFill="1">
      <alignment vertical="center"/>
    </xf>
    <xf numFmtId="0" fontId="22" fillId="0" borderId="0" xfId="0" applyFont="1" applyFill="1">
      <alignment vertical="center"/>
    </xf>
    <xf numFmtId="184" fontId="0" fillId="0" borderId="0" xfId="0" applyNumberFormat="1" applyFill="1">
      <alignment vertical="center"/>
    </xf>
    <xf numFmtId="0" fontId="0" fillId="0" borderId="4" xfId="0" applyFill="1" applyBorder="1" applyAlignment="1">
      <alignment horizontal="center" vertical="center"/>
    </xf>
    <xf numFmtId="184" fontId="24" fillId="0" borderId="4" xfId="0" applyNumberFormat="1" applyFont="1" applyFill="1" applyBorder="1">
      <alignment vertical="center"/>
    </xf>
    <xf numFmtId="0" fontId="13" fillId="0" borderId="13" xfId="0" applyFont="1" applyFill="1" applyBorder="1" applyAlignment="1">
      <alignment horizontal="center" vertical="center"/>
    </xf>
    <xf numFmtId="0" fontId="13" fillId="0" borderId="11" xfId="0" applyFont="1" applyFill="1" applyBorder="1" applyAlignment="1">
      <alignment horizontal="center" vertical="center"/>
    </xf>
    <xf numFmtId="179" fontId="16" fillId="0" borderId="0" xfId="0" applyNumberFormat="1" applyFont="1" applyFill="1" applyBorder="1">
      <alignment vertical="center"/>
    </xf>
    <xf numFmtId="177" fontId="16" fillId="0" borderId="0" xfId="0" applyNumberFormat="1" applyFont="1" applyFill="1" applyBorder="1">
      <alignment vertical="center"/>
    </xf>
    <xf numFmtId="0" fontId="16" fillId="0" borderId="8" xfId="0" applyFont="1" applyFill="1" applyBorder="1" applyAlignment="1">
      <alignment horizontal="left" vertical="center"/>
    </xf>
    <xf numFmtId="0" fontId="16" fillId="0" borderId="13" xfId="0" applyFont="1" applyFill="1" applyBorder="1" applyAlignment="1">
      <alignment horizontal="left" vertical="center"/>
    </xf>
    <xf numFmtId="0" fontId="16" fillId="0" borderId="9" xfId="0" applyFont="1" applyFill="1" applyBorder="1" applyAlignment="1">
      <alignment horizontal="left" vertical="center"/>
    </xf>
    <xf numFmtId="10" fontId="16" fillId="0" borderId="4" xfId="0" applyNumberFormat="1" applyFont="1" applyFill="1" applyBorder="1">
      <alignment vertical="center"/>
    </xf>
    <xf numFmtId="182" fontId="16" fillId="0" borderId="0" xfId="0" applyNumberFormat="1" applyFont="1" applyFill="1" applyBorder="1">
      <alignment vertical="center"/>
    </xf>
    <xf numFmtId="184" fontId="16" fillId="0" borderId="4" xfId="0" applyNumberFormat="1" applyFont="1" applyFill="1" applyBorder="1" applyAlignment="1">
      <alignment horizontal="right" vertical="center"/>
    </xf>
    <xf numFmtId="0" fontId="15" fillId="0" borderId="0" xfId="0" applyFont="1" applyFill="1" applyBorder="1" applyAlignment="1">
      <alignment vertical="center" wrapText="1"/>
    </xf>
    <xf numFmtId="0" fontId="0" fillId="0" borderId="0" xfId="0" applyFill="1" applyBorder="1">
      <alignment vertical="center"/>
    </xf>
    <xf numFmtId="176" fontId="0" fillId="0" borderId="0" xfId="0" applyNumberFormat="1" applyFill="1">
      <alignment vertical="center"/>
    </xf>
    <xf numFmtId="180" fontId="16" fillId="0" borderId="4" xfId="0" applyNumberFormat="1" applyFont="1" applyFill="1" applyBorder="1">
      <alignment vertical="center"/>
    </xf>
    <xf numFmtId="0" fontId="16" fillId="0" borderId="4" xfId="0" applyFont="1" applyFill="1" applyBorder="1" applyAlignment="1">
      <alignment horizontal="left" vertical="center"/>
    </xf>
    <xf numFmtId="180" fontId="0" fillId="0" borderId="0" xfId="0" applyNumberFormat="1" applyFill="1" applyBorder="1">
      <alignment vertical="center"/>
    </xf>
    <xf numFmtId="180" fontId="22" fillId="0" borderId="0" xfId="0" applyNumberFormat="1" applyFont="1" applyFill="1" applyBorder="1">
      <alignment vertical="center"/>
    </xf>
    <xf numFmtId="0" fontId="16" fillId="0" borderId="0" xfId="0" applyFont="1" applyFill="1">
      <alignment vertical="center"/>
    </xf>
    <xf numFmtId="0" fontId="15" fillId="0" borderId="0" xfId="0" applyFont="1" applyFill="1">
      <alignment vertical="center"/>
    </xf>
    <xf numFmtId="10" fontId="22" fillId="0" borderId="0" xfId="0" applyNumberFormat="1" applyFont="1" applyFill="1">
      <alignment vertical="center"/>
    </xf>
    <xf numFmtId="182" fontId="16" fillId="0" borderId="0" xfId="0" applyNumberFormat="1" applyFont="1" applyFill="1" applyBorder="1" applyAlignment="1">
      <alignment vertical="center" wrapText="1"/>
    </xf>
    <xf numFmtId="179" fontId="16" fillId="0" borderId="0" xfId="0" applyNumberFormat="1" applyFont="1" applyFill="1" applyBorder="1" applyAlignment="1">
      <alignment vertical="center" wrapText="1"/>
    </xf>
    <xf numFmtId="0" fontId="0" fillId="0" borderId="0" xfId="0" applyNumberFormat="1">
      <alignment vertical="center"/>
    </xf>
    <xf numFmtId="0" fontId="13" fillId="0" borderId="0" xfId="0" applyFont="1">
      <alignment vertical="center"/>
    </xf>
    <xf numFmtId="0" fontId="13" fillId="0" borderId="0" xfId="0" applyFont="1" applyBorder="1">
      <alignment vertical="center"/>
    </xf>
    <xf numFmtId="0" fontId="13" fillId="0" borderId="0" xfId="0" applyFont="1" applyFill="1">
      <alignment vertical="center"/>
    </xf>
    <xf numFmtId="0" fontId="10" fillId="0" borderId="0" xfId="0" applyFont="1" applyFill="1" applyBorder="1">
      <alignment vertical="center"/>
    </xf>
    <xf numFmtId="179" fontId="0" fillId="0" borderId="0" xfId="0" applyNumberFormat="1">
      <alignment vertical="center"/>
    </xf>
    <xf numFmtId="184" fontId="0" fillId="0" borderId="0" xfId="0" applyNumberFormat="1">
      <alignment vertical="center"/>
    </xf>
    <xf numFmtId="0" fontId="25" fillId="0" borderId="11" xfId="0" applyFont="1" applyBorder="1" applyAlignment="1">
      <alignment horizontal="center" vertical="center"/>
    </xf>
    <xf numFmtId="0" fontId="15" fillId="0" borderId="4" xfId="0" applyNumberFormat="1" applyFont="1" applyBorder="1" applyAlignment="1">
      <alignment horizontal="center" vertical="center"/>
    </xf>
    <xf numFmtId="179" fontId="15" fillId="0" borderId="4" xfId="0" applyNumberFormat="1" applyFont="1" applyBorder="1" applyAlignment="1">
      <alignment horizontal="center" vertical="center"/>
    </xf>
    <xf numFmtId="179" fontId="15" fillId="0" borderId="1" xfId="0" applyNumberFormat="1" applyFont="1" applyBorder="1" applyAlignment="1">
      <alignment horizontal="center" vertical="center"/>
    </xf>
    <xf numFmtId="184" fontId="15" fillId="0" borderId="4" xfId="0" applyNumberFormat="1" applyFont="1" applyBorder="1" applyAlignment="1">
      <alignment horizontal="center" vertical="center"/>
    </xf>
    <xf numFmtId="184" fontId="0" fillId="0" borderId="4" xfId="0" applyNumberFormat="1" applyBorder="1" applyAlignment="1">
      <alignment horizontal="center" vertical="center"/>
    </xf>
    <xf numFmtId="179" fontId="15" fillId="0" borderId="10" xfId="0" applyNumberFormat="1" applyFont="1" applyBorder="1" applyAlignment="1">
      <alignment horizontal="center" vertical="center"/>
    </xf>
    <xf numFmtId="179" fontId="15" fillId="0" borderId="5" xfId="0" applyNumberFormat="1" applyFont="1" applyBorder="1" applyAlignment="1">
      <alignment horizontal="center" vertical="center"/>
    </xf>
    <xf numFmtId="0" fontId="0" fillId="0" borderId="4" xfId="0" applyNumberFormat="1" applyBorder="1" applyAlignment="1">
      <alignment horizontal="center" vertical="center"/>
    </xf>
    <xf numFmtId="0" fontId="8" fillId="0" borderId="4" xfId="0" applyNumberFormat="1" applyFont="1" applyBorder="1" applyAlignment="1">
      <alignment horizontal="center" vertical="center" wrapText="1"/>
    </xf>
    <xf numFmtId="179" fontId="10" fillId="0" borderId="4" xfId="0" applyNumberFormat="1" applyFont="1" applyBorder="1" applyAlignment="1">
      <alignment horizontal="center" vertical="center" wrapText="1"/>
    </xf>
    <xf numFmtId="179" fontId="18" fillId="0" borderId="4" xfId="0" applyNumberFormat="1" applyFont="1" applyBorder="1" applyAlignment="1">
      <alignment vertical="center" wrapText="1"/>
    </xf>
    <xf numFmtId="184" fontId="26" fillId="0" borderId="4" xfId="0" applyNumberFormat="1" applyFont="1" applyBorder="1" applyAlignment="1">
      <alignment horizontal="center" vertical="center" wrapText="1"/>
    </xf>
    <xf numFmtId="179" fontId="11" fillId="0" borderId="4" xfId="0" applyNumberFormat="1" applyFont="1" applyBorder="1" applyAlignment="1">
      <alignment vertical="center" wrapText="1"/>
    </xf>
    <xf numFmtId="184" fontId="8" fillId="0" borderId="4" xfId="0" applyNumberFormat="1" applyFont="1" applyBorder="1" applyAlignment="1">
      <alignment horizontal="center" vertical="center" wrapText="1"/>
    </xf>
    <xf numFmtId="184" fontId="8" fillId="3" borderId="4" xfId="0" applyNumberFormat="1" applyFont="1" applyFill="1" applyBorder="1" applyAlignment="1">
      <alignment horizontal="center" vertical="center" wrapText="1"/>
    </xf>
    <xf numFmtId="0" fontId="8" fillId="0" borderId="1" xfId="0" applyNumberFormat="1" applyFont="1" applyBorder="1" applyAlignment="1">
      <alignment horizontal="center" vertical="center" wrapText="1"/>
    </xf>
    <xf numFmtId="179" fontId="10" fillId="0" borderId="1" xfId="0" applyNumberFormat="1" applyFont="1" applyBorder="1" applyAlignment="1">
      <alignment horizontal="center" vertical="center" wrapText="1"/>
    </xf>
    <xf numFmtId="179" fontId="11" fillId="0" borderId="1" xfId="0" applyNumberFormat="1" applyFont="1" applyBorder="1" applyAlignment="1">
      <alignment vertical="center" wrapText="1"/>
    </xf>
    <xf numFmtId="184" fontId="8" fillId="0" borderId="1" xfId="0" applyNumberFormat="1" applyFont="1" applyBorder="1" applyAlignment="1">
      <alignment horizontal="center" vertical="center" wrapText="1"/>
    </xf>
    <xf numFmtId="0" fontId="8" fillId="0" borderId="0" xfId="0" applyNumberFormat="1" applyFont="1" applyBorder="1" applyAlignment="1">
      <alignment horizontal="center" vertical="center" wrapText="1"/>
    </xf>
    <xf numFmtId="179" fontId="10" fillId="0" borderId="0" xfId="0" applyNumberFormat="1" applyFont="1" applyBorder="1" applyAlignment="1">
      <alignment horizontal="center" vertical="center" wrapText="1"/>
    </xf>
    <xf numFmtId="179" fontId="26" fillId="0" borderId="0" xfId="0" applyNumberFormat="1" applyFont="1" applyBorder="1" applyAlignment="1">
      <alignment horizontal="center" vertical="center" wrapText="1"/>
    </xf>
    <xf numFmtId="184" fontId="26" fillId="0" borderId="0" xfId="0" applyNumberFormat="1" applyFont="1" applyBorder="1" applyAlignment="1">
      <alignment horizontal="center" vertical="center" wrapText="1"/>
    </xf>
    <xf numFmtId="184" fontId="10" fillId="0" borderId="0" xfId="0" applyNumberFormat="1" applyFont="1" applyBorder="1" applyAlignment="1">
      <alignment horizontal="center" vertical="center" wrapText="1"/>
    </xf>
    <xf numFmtId="0" fontId="8" fillId="0" borderId="5" xfId="0" applyNumberFormat="1" applyFont="1" applyBorder="1" applyAlignment="1">
      <alignment horizontal="center" vertical="center" wrapText="1"/>
    </xf>
    <xf numFmtId="179" fontId="10" fillId="0" borderId="5" xfId="0" applyNumberFormat="1" applyFont="1" applyBorder="1" applyAlignment="1">
      <alignment horizontal="center" vertical="center" wrapText="1"/>
    </xf>
    <xf numFmtId="179" fontId="11" fillId="0" borderId="5" xfId="0" applyNumberFormat="1" applyFont="1" applyBorder="1" applyAlignment="1">
      <alignment vertical="center" wrapText="1"/>
    </xf>
    <xf numFmtId="184" fontId="8" fillId="0" borderId="5" xfId="0" applyNumberFormat="1" applyFont="1" applyBorder="1" applyAlignment="1">
      <alignment horizontal="center" vertical="center" wrapText="1"/>
    </xf>
    <xf numFmtId="184" fontId="0" fillId="0" borderId="4" xfId="0" applyNumberFormat="1" applyBorder="1">
      <alignment vertical="center"/>
    </xf>
    <xf numFmtId="184" fontId="26" fillId="0" borderId="1" xfId="0" applyNumberFormat="1" applyFont="1" applyBorder="1" applyAlignment="1">
      <alignment horizontal="center" vertical="center" wrapText="1"/>
    </xf>
    <xf numFmtId="179" fontId="16" fillId="0" borderId="4" xfId="0" applyNumberFormat="1" applyFont="1" applyBorder="1" applyAlignment="1">
      <alignment horizontal="center" vertical="center" wrapText="1"/>
    </xf>
    <xf numFmtId="179" fontId="26" fillId="0" borderId="4" xfId="0" applyNumberFormat="1" applyFont="1" applyBorder="1" applyAlignment="1">
      <alignment horizontal="center" vertical="center" wrapText="1"/>
    </xf>
    <xf numFmtId="179" fontId="27" fillId="0" borderId="4" xfId="0" applyNumberFormat="1" applyFont="1" applyBorder="1" applyAlignment="1">
      <alignment horizontal="center" vertical="center" wrapText="1"/>
    </xf>
    <xf numFmtId="179" fontId="28" fillId="0" borderId="4" xfId="0" applyNumberFormat="1" applyFont="1" applyBorder="1" applyAlignment="1">
      <alignment horizontal="center" vertical="center" wrapText="1"/>
    </xf>
    <xf numFmtId="0" fontId="8" fillId="0" borderId="0" xfId="0" applyNumberFormat="1" applyFont="1">
      <alignment vertical="center"/>
    </xf>
    <xf numFmtId="179" fontId="27" fillId="0" borderId="0" xfId="0" applyNumberFormat="1" applyFont="1" applyBorder="1">
      <alignment vertical="center"/>
    </xf>
    <xf numFmtId="179" fontId="8" fillId="0" borderId="0" xfId="0" applyNumberFormat="1" applyFont="1" applyBorder="1">
      <alignment vertical="center"/>
    </xf>
    <xf numFmtId="184" fontId="8" fillId="0" borderId="0" xfId="0" applyNumberFormat="1" applyFont="1" applyBorder="1">
      <alignment vertical="center"/>
    </xf>
    <xf numFmtId="184" fontId="8" fillId="0" borderId="0" xfId="0" applyNumberFormat="1" applyFont="1">
      <alignment vertical="center"/>
    </xf>
    <xf numFmtId="0" fontId="16" fillId="0" borderId="0" xfId="0" applyNumberFormat="1" applyFont="1" applyBorder="1">
      <alignment vertical="center"/>
    </xf>
    <xf numFmtId="179" fontId="16" fillId="0" borderId="0" xfId="0" applyNumberFormat="1" applyFont="1" applyBorder="1" applyAlignment="1">
      <alignment vertical="center" wrapText="1"/>
    </xf>
    <xf numFmtId="184" fontId="8" fillId="0" borderId="0" xfId="0" applyNumberFormat="1" applyFont="1" applyBorder="1" applyAlignment="1">
      <alignment vertical="center" wrapText="1"/>
    </xf>
    <xf numFmtId="184" fontId="16" fillId="0" borderId="4" xfId="0" applyNumberFormat="1" applyFont="1" applyBorder="1">
      <alignment vertical="center"/>
    </xf>
    <xf numFmtId="184" fontId="8" fillId="4" borderId="5" xfId="0" applyNumberFormat="1" applyFont="1" applyFill="1" applyBorder="1" applyAlignment="1">
      <alignment horizontal="center" vertical="center" wrapText="1"/>
    </xf>
    <xf numFmtId="184" fontId="8" fillId="4" borderId="4" xfId="0" applyNumberFormat="1" applyFont="1" applyFill="1" applyBorder="1" applyAlignment="1">
      <alignment horizontal="center" vertical="center" wrapText="1"/>
    </xf>
    <xf numFmtId="184" fontId="10" fillId="0" borderId="4" xfId="0" applyNumberFormat="1" applyFont="1" applyBorder="1">
      <alignment vertical="center"/>
    </xf>
    <xf numFmtId="184" fontId="16" fillId="5" borderId="4" xfId="0" applyNumberFormat="1" applyFont="1" applyFill="1" applyBorder="1">
      <alignment vertical="center"/>
    </xf>
    <xf numFmtId="184" fontId="16" fillId="5" borderId="1" xfId="0" applyNumberFormat="1" applyFont="1" applyFill="1" applyBorder="1">
      <alignment vertical="center"/>
    </xf>
    <xf numFmtId="184" fontId="16" fillId="0" borderId="0" xfId="0" applyNumberFormat="1" applyFont="1">
      <alignment vertical="center"/>
    </xf>
    <xf numFmtId="184" fontId="29" fillId="0" borderId="0" xfId="0" applyNumberFormat="1" applyFont="1" applyBorder="1" applyAlignment="1">
      <alignment vertical="center" wrapText="1"/>
    </xf>
    <xf numFmtId="184" fontId="27" fillId="0" borderId="0" xfId="0" applyNumberFormat="1" applyFont="1" applyBorder="1" applyAlignment="1">
      <alignment vertical="center" wrapText="1"/>
    </xf>
    <xf numFmtId="184" fontId="16" fillId="0" borderId="0" xfId="0" applyNumberFormat="1" applyFont="1" applyBorder="1" applyAlignment="1">
      <alignment vertical="center" wrapText="1"/>
    </xf>
    <xf numFmtId="179" fontId="13" fillId="0" borderId="0" xfId="0" applyNumberFormat="1" applyFont="1">
      <alignment vertical="center"/>
    </xf>
    <xf numFmtId="184" fontId="29" fillId="6" borderId="4" xfId="0" applyNumberFormat="1" applyFont="1" applyFill="1" applyBorder="1" applyAlignment="1">
      <alignment horizontal="center" vertical="center" wrapText="1"/>
    </xf>
    <xf numFmtId="179" fontId="0" fillId="0" borderId="0" xfId="0" applyNumberFormat="1" applyBorder="1">
      <alignment vertical="center"/>
    </xf>
    <xf numFmtId="0" fontId="10" fillId="0" borderId="0" xfId="0" applyFont="1" applyBorder="1" applyAlignment="1">
      <alignment horizontal="center" vertical="center" wrapText="1"/>
    </xf>
    <xf numFmtId="0" fontId="26" fillId="0" borderId="0" xfId="0" applyNumberFormat="1" applyFont="1" applyBorder="1" applyAlignment="1">
      <alignment horizontal="center" vertical="center" wrapText="1"/>
    </xf>
    <xf numFmtId="185" fontId="30" fillId="0" borderId="11" xfId="0" applyNumberFormat="1" applyFont="1" applyBorder="1" applyAlignment="1">
      <alignment horizontal="center" vertical="center"/>
    </xf>
    <xf numFmtId="185" fontId="31" fillId="0" borderId="11" xfId="0" applyNumberFormat="1" applyFont="1" applyBorder="1" applyAlignment="1">
      <alignment horizontal="center" vertical="center"/>
    </xf>
    <xf numFmtId="184" fontId="16" fillId="0" borderId="4" xfId="0" applyNumberFormat="1" applyFont="1" applyFill="1" applyBorder="1">
      <alignment vertical="center"/>
    </xf>
    <xf numFmtId="179" fontId="10" fillId="0" borderId="4" xfId="0" applyNumberFormat="1" applyFont="1" applyFill="1" applyBorder="1" applyAlignment="1">
      <alignment horizontal="center" vertical="center" wrapText="1"/>
    </xf>
    <xf numFmtId="184" fontId="13" fillId="0" borderId="4" xfId="0" applyNumberFormat="1" applyFont="1" applyFill="1" applyBorder="1">
      <alignment vertical="center"/>
    </xf>
    <xf numFmtId="184" fontId="15" fillId="0" borderId="4" xfId="0" applyNumberFormat="1" applyFont="1" applyFill="1" applyBorder="1">
      <alignment vertical="center"/>
    </xf>
    <xf numFmtId="184" fontId="10" fillId="0" borderId="4" xfId="0" applyNumberFormat="1" applyFont="1" applyFill="1" applyBorder="1">
      <alignment vertical="center"/>
    </xf>
    <xf numFmtId="179" fontId="28" fillId="0" borderId="1" xfId="0" applyNumberFormat="1" applyFont="1" applyFill="1" applyBorder="1" applyAlignment="1">
      <alignment horizontal="center" vertical="center" wrapText="1"/>
    </xf>
    <xf numFmtId="179" fontId="28" fillId="0" borderId="10" xfId="0" applyNumberFormat="1" applyFont="1" applyFill="1" applyBorder="1" applyAlignment="1">
      <alignment horizontal="center" vertical="center" wrapText="1"/>
    </xf>
    <xf numFmtId="184" fontId="16" fillId="0" borderId="1" xfId="0" applyNumberFormat="1" applyFont="1" applyFill="1" applyBorder="1">
      <alignment vertical="center"/>
    </xf>
    <xf numFmtId="179" fontId="26" fillId="0" borderId="0" xfId="0" applyNumberFormat="1" applyFont="1" applyFill="1" applyBorder="1" applyAlignment="1">
      <alignment horizontal="center" vertical="center" wrapText="1"/>
    </xf>
    <xf numFmtId="184" fontId="10" fillId="0" borderId="0" xfId="0" applyNumberFormat="1" applyFont="1" applyFill="1" applyBorder="1">
      <alignment vertical="center"/>
    </xf>
    <xf numFmtId="184" fontId="10" fillId="0" borderId="0" xfId="0" applyNumberFormat="1" applyFont="1" applyFill="1" applyBorder="1" applyAlignment="1">
      <alignment horizontal="center" vertical="center" wrapText="1"/>
    </xf>
    <xf numFmtId="184" fontId="16" fillId="0" borderId="5" xfId="0" applyNumberFormat="1" applyFont="1" applyFill="1" applyBorder="1">
      <alignment vertical="center"/>
    </xf>
    <xf numFmtId="0" fontId="8" fillId="0" borderId="10" xfId="0" applyNumberFormat="1" applyFont="1" applyBorder="1" applyAlignment="1">
      <alignment horizontal="center" vertical="center" wrapText="1"/>
    </xf>
    <xf numFmtId="179" fontId="10" fillId="0" borderId="10" xfId="0" applyNumberFormat="1" applyFont="1" applyBorder="1" applyAlignment="1">
      <alignment horizontal="center" vertical="center" wrapText="1"/>
    </xf>
    <xf numFmtId="179" fontId="11" fillId="0" borderId="10" xfId="0" applyNumberFormat="1" applyFont="1" applyFill="1" applyBorder="1" applyAlignment="1">
      <alignment vertical="center" wrapText="1"/>
    </xf>
    <xf numFmtId="179" fontId="11" fillId="0" borderId="0" xfId="0" applyNumberFormat="1" applyFont="1" applyFill="1" applyBorder="1" applyAlignment="1">
      <alignment vertical="center" wrapText="1"/>
    </xf>
    <xf numFmtId="184" fontId="15" fillId="0" borderId="0" xfId="0" applyNumberFormat="1" applyFont="1">
      <alignment vertical="center"/>
    </xf>
    <xf numFmtId="184" fontId="16" fillId="0" borderId="10" xfId="0" applyNumberFormat="1" applyFont="1" applyFill="1" applyBorder="1" applyAlignment="1">
      <alignment horizontal="center" vertical="center" wrapText="1"/>
    </xf>
    <xf numFmtId="184" fontId="16" fillId="0" borderId="1" xfId="0" applyNumberFormat="1" applyFont="1" applyFill="1" applyBorder="1" applyAlignment="1">
      <alignment horizontal="center" vertical="center" wrapText="1"/>
    </xf>
    <xf numFmtId="184" fontId="32" fillId="0" borderId="0" xfId="0" applyNumberFormat="1" applyFont="1" applyAlignment="1">
      <alignment vertical="center" wrapText="1"/>
    </xf>
    <xf numFmtId="179" fontId="0" fillId="0" borderId="0" xfId="0" applyNumberFormat="1" applyFill="1">
      <alignment vertical="center"/>
    </xf>
    <xf numFmtId="179" fontId="13" fillId="0" borderId="0" xfId="0" applyNumberFormat="1" applyFont="1" applyFill="1">
      <alignment vertical="center"/>
    </xf>
    <xf numFmtId="179" fontId="15" fillId="0" borderId="0" xfId="0" applyNumberFormat="1" applyFont="1" applyFill="1">
      <alignment vertical="center"/>
    </xf>
    <xf numFmtId="184" fontId="0" fillId="0" borderId="0" xfId="0" applyNumberFormat="1" applyAlignment="1">
      <alignment vertical="center" wrapText="1"/>
    </xf>
    <xf numFmtId="0" fontId="26" fillId="0" borderId="0" xfId="0" applyNumberFormat="1" applyFont="1" applyFill="1" applyBorder="1" applyAlignment="1">
      <alignment horizontal="center" vertical="center" wrapText="1"/>
    </xf>
    <xf numFmtId="0" fontId="10" fillId="0" borderId="0" xfId="0" applyFont="1" applyFill="1" applyBorder="1" applyAlignment="1">
      <alignment horizontal="center" vertical="center" wrapText="1"/>
    </xf>
    <xf numFmtId="0" fontId="0" fillId="0" borderId="0" xfId="0" applyFill="1" applyAlignment="1">
      <alignment vertical="center" wrapText="1"/>
    </xf>
    <xf numFmtId="0" fontId="12" fillId="0" borderId="11" xfId="0" applyFont="1" applyFill="1" applyBorder="1" applyAlignment="1">
      <alignment horizontal="center" vertical="center"/>
    </xf>
    <xf numFmtId="0" fontId="15" fillId="0" borderId="4" xfId="0" applyFont="1" applyFill="1" applyBorder="1" applyAlignment="1">
      <alignment horizontal="center" vertical="center" wrapText="1"/>
    </xf>
    <xf numFmtId="0" fontId="15" fillId="0" borderId="1" xfId="0" applyFont="1" applyFill="1" applyBorder="1" applyAlignment="1">
      <alignment horizontal="center" vertical="center"/>
    </xf>
    <xf numFmtId="0" fontId="15" fillId="0" borderId="10" xfId="0" applyFont="1" applyFill="1" applyBorder="1" applyAlignment="1">
      <alignment horizontal="center" vertical="center"/>
    </xf>
    <xf numFmtId="0" fontId="15" fillId="0" borderId="5" xfId="0" applyFont="1" applyFill="1" applyBorder="1" applyAlignment="1">
      <alignment horizontal="center" vertical="center"/>
    </xf>
    <xf numFmtId="180" fontId="20" fillId="0" borderId="1" xfId="0" applyNumberFormat="1" applyFont="1" applyFill="1" applyBorder="1" applyAlignment="1">
      <alignment horizontal="center" vertical="center" wrapText="1"/>
    </xf>
    <xf numFmtId="0" fontId="33" fillId="0" borderId="4" xfId="0" applyFont="1" applyFill="1" applyBorder="1" applyAlignment="1">
      <alignment horizontal="left" vertical="center"/>
    </xf>
    <xf numFmtId="176" fontId="24" fillId="0" borderId="4" xfId="0" applyNumberFormat="1" applyFont="1" applyFill="1" applyBorder="1">
      <alignment vertical="center"/>
    </xf>
    <xf numFmtId="180" fontId="20" fillId="0" borderId="10" xfId="0" applyNumberFormat="1" applyFont="1" applyFill="1" applyBorder="1" applyAlignment="1">
      <alignment horizontal="center" vertical="center" wrapText="1"/>
    </xf>
    <xf numFmtId="0" fontId="34" fillId="0" borderId="4" xfId="0" applyFont="1" applyFill="1" applyBorder="1" applyAlignment="1">
      <alignment horizontal="left" vertical="center"/>
    </xf>
    <xf numFmtId="176" fontId="20" fillId="0" borderId="4" xfId="0" applyNumberFormat="1" applyFont="1" applyFill="1" applyBorder="1">
      <alignment vertical="center"/>
    </xf>
    <xf numFmtId="180" fontId="20" fillId="0" borderId="5" xfId="0" applyNumberFormat="1" applyFont="1" applyFill="1" applyBorder="1" applyAlignment="1">
      <alignment horizontal="center" vertical="center" wrapText="1"/>
    </xf>
    <xf numFmtId="0" fontId="20" fillId="0" borderId="1" xfId="0" applyNumberFormat="1" applyFont="1" applyFill="1" applyBorder="1" applyAlignment="1">
      <alignment horizontal="center" vertical="center"/>
    </xf>
    <xf numFmtId="0" fontId="20" fillId="0" borderId="10" xfId="0" applyNumberFormat="1" applyFont="1" applyFill="1" applyBorder="1" applyAlignment="1">
      <alignment horizontal="center" vertical="center"/>
    </xf>
    <xf numFmtId="0" fontId="20" fillId="0" borderId="5" xfId="0" applyNumberFormat="1" applyFont="1" applyFill="1" applyBorder="1" applyAlignment="1">
      <alignment horizontal="center" vertical="center"/>
    </xf>
    <xf numFmtId="0" fontId="20" fillId="0" borderId="4" xfId="0" applyNumberFormat="1" applyFont="1" applyFill="1" applyBorder="1" applyAlignment="1">
      <alignment horizontal="center" vertical="center"/>
    </xf>
    <xf numFmtId="180" fontId="20" fillId="0" borderId="4" xfId="0" applyNumberFormat="1" applyFont="1" applyFill="1" applyBorder="1" applyAlignment="1">
      <alignment horizontal="center" vertical="center" wrapText="1"/>
    </xf>
    <xf numFmtId="184" fontId="33" fillId="0" borderId="4" xfId="0" applyNumberFormat="1" applyFont="1" applyFill="1" applyBorder="1" applyAlignment="1">
      <alignment horizontal="center" vertical="center"/>
    </xf>
    <xf numFmtId="0" fontId="15" fillId="0" borderId="8" xfId="0" applyFont="1" applyFill="1" applyBorder="1" applyAlignment="1">
      <alignment horizontal="center" vertical="center"/>
    </xf>
    <xf numFmtId="0" fontId="15" fillId="0" borderId="13" xfId="0" applyFont="1" applyFill="1" applyBorder="1" applyAlignment="1">
      <alignment horizontal="center" vertical="center"/>
    </xf>
    <xf numFmtId="184" fontId="24" fillId="0" borderId="4" xfId="0" applyNumberFormat="1" applyFont="1" applyFill="1" applyBorder="1" applyAlignment="1">
      <alignment horizontal="right" vertical="center"/>
    </xf>
    <xf numFmtId="184" fontId="20" fillId="0" borderId="4" xfId="0" applyNumberFormat="1" applyFont="1" applyFill="1" applyBorder="1" applyAlignment="1">
      <alignment horizontal="right" vertical="center"/>
    </xf>
    <xf numFmtId="184" fontId="33" fillId="0" borderId="4" xfId="0" applyNumberFormat="1" applyFont="1" applyFill="1" applyBorder="1" applyAlignment="1">
      <alignment horizontal="right" vertical="center"/>
    </xf>
    <xf numFmtId="184" fontId="34" fillId="0" borderId="4" xfId="0" applyNumberFormat="1" applyFont="1" applyFill="1" applyBorder="1" applyAlignment="1">
      <alignment horizontal="right" vertical="center"/>
    </xf>
    <xf numFmtId="0" fontId="12" fillId="0" borderId="11" xfId="0" applyFont="1" applyFill="1" applyBorder="1" applyAlignment="1">
      <alignment vertical="center"/>
    </xf>
    <xf numFmtId="10" fontId="12" fillId="0" borderId="11" xfId="0" applyNumberFormat="1" applyFont="1" applyFill="1" applyBorder="1" applyAlignment="1">
      <alignment vertical="center"/>
    </xf>
    <xf numFmtId="0" fontId="35" fillId="0" borderId="0" xfId="0" applyFont="1" applyFill="1" applyAlignment="1">
      <alignment horizontal="center" vertical="center" wrapText="1"/>
    </xf>
    <xf numFmtId="0" fontId="35" fillId="0" borderId="0" xfId="0" applyFont="1" applyFill="1" applyAlignment="1">
      <alignment horizontal="center" vertical="center"/>
    </xf>
    <xf numFmtId="0" fontId="15" fillId="0" borderId="9" xfId="0" applyFont="1" applyFill="1" applyBorder="1" applyAlignment="1">
      <alignment horizontal="center" vertical="center"/>
    </xf>
    <xf numFmtId="184" fontId="0" fillId="0" borderId="4" xfId="0" applyNumberFormat="1" applyFill="1" applyBorder="1" applyAlignment="1">
      <alignment horizontal="center" vertical="center"/>
    </xf>
    <xf numFmtId="184" fontId="15" fillId="0" borderId="4" xfId="0" applyNumberFormat="1" applyFont="1" applyFill="1" applyBorder="1" applyAlignment="1">
      <alignment horizontal="center" vertical="center"/>
    </xf>
    <xf numFmtId="176" fontId="13" fillId="0" borderId="0" xfId="0" applyNumberFormat="1" applyFont="1" applyFill="1">
      <alignment vertical="center"/>
    </xf>
    <xf numFmtId="0" fontId="36" fillId="0" borderId="0" xfId="0" applyFont="1" applyFill="1" applyAlignment="1">
      <alignment horizontal="center" vertical="center" wrapText="1"/>
    </xf>
    <xf numFmtId="0" fontId="36" fillId="0" borderId="11" xfId="0" applyFont="1" applyFill="1" applyBorder="1" applyAlignment="1">
      <alignment horizontal="center" vertical="center" wrapText="1"/>
    </xf>
    <xf numFmtId="0" fontId="0" fillId="5" borderId="0" xfId="0" applyFill="1">
      <alignment vertical="center"/>
    </xf>
    <xf numFmtId="0" fontId="0" fillId="4" borderId="0" xfId="0" applyFill="1">
      <alignment vertical="center"/>
    </xf>
    <xf numFmtId="0" fontId="15" fillId="5" borderId="0" xfId="0" applyFont="1" applyFill="1">
      <alignment vertical="center"/>
    </xf>
    <xf numFmtId="0" fontId="15" fillId="0" borderId="0" xfId="0" applyFont="1">
      <alignment vertical="center"/>
    </xf>
    <xf numFmtId="0" fontId="15" fillId="4" borderId="0" xfId="0" applyFont="1" applyFill="1">
      <alignment vertical="center"/>
    </xf>
    <xf numFmtId="184" fontId="20" fillId="0" borderId="0" xfId="0" applyNumberFormat="1" applyFont="1">
      <alignment vertical="center"/>
    </xf>
    <xf numFmtId="0" fontId="9" fillId="0" borderId="11" xfId="0" applyFont="1" applyBorder="1" applyAlignment="1">
      <alignment horizontal="left" vertical="center"/>
    </xf>
    <xf numFmtId="0" fontId="37" fillId="0" borderId="1" xfId="0" applyFont="1" applyFill="1" applyBorder="1" applyAlignment="1">
      <alignment horizontal="center" vertical="center" wrapText="1"/>
    </xf>
    <xf numFmtId="184" fontId="24" fillId="0" borderId="1" xfId="0" applyNumberFormat="1" applyFont="1" applyFill="1" applyBorder="1" applyAlignment="1">
      <alignment horizontal="center" vertical="center" wrapText="1"/>
    </xf>
    <xf numFmtId="184" fontId="38" fillId="0" borderId="4" xfId="0" applyNumberFormat="1" applyFont="1" applyFill="1" applyBorder="1" applyAlignment="1">
      <alignment horizontal="center" vertical="center" wrapText="1"/>
    </xf>
    <xf numFmtId="0" fontId="37" fillId="0" borderId="10" xfId="0" applyFont="1" applyFill="1" applyBorder="1" applyAlignment="1">
      <alignment horizontal="center" vertical="center" wrapText="1"/>
    </xf>
    <xf numFmtId="184" fontId="24" fillId="0" borderId="10" xfId="0" applyNumberFormat="1" applyFont="1" applyFill="1" applyBorder="1" applyAlignment="1">
      <alignment horizontal="center" vertical="center" wrapText="1"/>
    </xf>
    <xf numFmtId="184" fontId="39" fillId="0" borderId="1" xfId="0" applyNumberFormat="1" applyFont="1" applyFill="1" applyBorder="1" applyAlignment="1">
      <alignment horizontal="center" vertical="center" wrapText="1"/>
    </xf>
    <xf numFmtId="0" fontId="37" fillId="0" borderId="5" xfId="0" applyFont="1" applyFill="1" applyBorder="1" applyAlignment="1">
      <alignment horizontal="center" vertical="center" wrapText="1"/>
    </xf>
    <xf numFmtId="184" fontId="24" fillId="0" borderId="5" xfId="0" applyNumberFormat="1" applyFont="1" applyFill="1" applyBorder="1" applyAlignment="1">
      <alignment horizontal="center" vertical="center" wrapText="1"/>
    </xf>
    <xf numFmtId="0" fontId="39" fillId="0" borderId="1" xfId="0" applyNumberFormat="1" applyFont="1" applyFill="1" applyBorder="1" applyAlignment="1">
      <alignment horizontal="center" vertical="center" wrapText="1"/>
    </xf>
    <xf numFmtId="0" fontId="39" fillId="0" borderId="2" xfId="0" applyNumberFormat="1" applyFont="1" applyFill="1" applyBorder="1" applyAlignment="1">
      <alignment horizontal="center" vertical="center" wrapText="1"/>
    </xf>
    <xf numFmtId="0" fontId="40" fillId="0" borderId="1" xfId="0" applyFont="1" applyBorder="1" applyAlignment="1">
      <alignment horizontal="center" vertical="center" wrapText="1"/>
    </xf>
    <xf numFmtId="0" fontId="7" fillId="0" borderId="4" xfId="0" applyFont="1" applyFill="1" applyBorder="1" applyAlignment="1">
      <alignment horizontal="left" vertical="center"/>
    </xf>
    <xf numFmtId="184" fontId="41" fillId="0" borderId="4" xfId="0" applyNumberFormat="1" applyFont="1" applyBorder="1" applyAlignment="1">
      <alignment horizontal="center" vertical="center"/>
    </xf>
    <xf numFmtId="184" fontId="41" fillId="0" borderId="4" xfId="0" applyNumberFormat="1" applyFont="1" applyBorder="1">
      <alignment vertical="center"/>
    </xf>
    <xf numFmtId="0" fontId="40" fillId="0" borderId="10" xfId="0" applyFont="1" applyBorder="1" applyAlignment="1">
      <alignment horizontal="center" vertical="center" wrapText="1"/>
    </xf>
    <xf numFmtId="0" fontId="6" fillId="5" borderId="4" xfId="0" applyFont="1" applyFill="1" applyBorder="1" applyAlignment="1">
      <alignment horizontal="left" vertical="center"/>
    </xf>
    <xf numFmtId="184" fontId="23" fillId="5" borderId="4" xfId="0" applyNumberFormat="1" applyFont="1" applyFill="1" applyBorder="1" applyAlignment="1">
      <alignment horizontal="center" vertical="center"/>
    </xf>
    <xf numFmtId="184" fontId="23" fillId="5" borderId="4" xfId="0" applyNumberFormat="1" applyFont="1" applyFill="1" applyBorder="1">
      <alignment vertical="center"/>
    </xf>
    <xf numFmtId="0" fontId="6" fillId="0" borderId="4" xfId="0" applyFont="1" applyFill="1" applyBorder="1" applyAlignment="1">
      <alignment horizontal="left" vertical="center"/>
    </xf>
    <xf numFmtId="184" fontId="23" fillId="0" borderId="4" xfId="0" applyNumberFormat="1" applyFont="1" applyBorder="1" applyAlignment="1">
      <alignment horizontal="center" vertical="center"/>
    </xf>
    <xf numFmtId="184" fontId="23" fillId="0" borderId="4" xfId="0" applyNumberFormat="1" applyFont="1" applyBorder="1">
      <alignment vertical="center"/>
    </xf>
    <xf numFmtId="0" fontId="40" fillId="0" borderId="5" xfId="0" applyFont="1" applyBorder="1" applyAlignment="1">
      <alignment horizontal="center" vertical="center" wrapText="1"/>
    </xf>
    <xf numFmtId="0" fontId="6" fillId="4" borderId="4" xfId="0" applyFont="1" applyFill="1" applyBorder="1" applyAlignment="1">
      <alignment horizontal="left" vertical="center"/>
    </xf>
    <xf numFmtId="184" fontId="23" fillId="4" borderId="4" xfId="0" applyNumberFormat="1" applyFont="1" applyFill="1" applyBorder="1" applyAlignment="1">
      <alignment horizontal="center" vertical="center"/>
    </xf>
    <xf numFmtId="184" fontId="23" fillId="4" borderId="4" xfId="0" applyNumberFormat="1" applyFont="1" applyFill="1" applyBorder="1">
      <alignment vertical="center"/>
    </xf>
    <xf numFmtId="0" fontId="42" fillId="0" borderId="1" xfId="0" applyFont="1" applyBorder="1" applyAlignment="1">
      <alignment horizontal="center" vertical="center" wrapText="1"/>
    </xf>
    <xf numFmtId="0" fontId="42" fillId="0" borderId="10" xfId="0" applyFont="1" applyBorder="1" applyAlignment="1">
      <alignment horizontal="center" vertical="center" wrapText="1"/>
    </xf>
    <xf numFmtId="0" fontId="42" fillId="0" borderId="5" xfId="0" applyFont="1" applyBorder="1" applyAlignment="1">
      <alignment horizontal="center" vertical="center" wrapText="1"/>
    </xf>
    <xf numFmtId="178" fontId="40" fillId="0" borderId="1" xfId="0" applyNumberFormat="1" applyFont="1" applyBorder="1" applyAlignment="1">
      <alignment horizontal="center" vertical="center" wrapText="1"/>
    </xf>
    <xf numFmtId="182" fontId="40" fillId="0" borderId="1" xfId="0" applyNumberFormat="1" applyFont="1" applyBorder="1" applyAlignment="1">
      <alignment horizontal="center" vertical="center" wrapText="1"/>
    </xf>
    <xf numFmtId="178" fontId="40" fillId="0" borderId="10" xfId="0" applyNumberFormat="1" applyFont="1" applyBorder="1" applyAlignment="1">
      <alignment horizontal="center" vertical="center" wrapText="1"/>
    </xf>
    <xf numFmtId="182" fontId="40" fillId="0" borderId="10" xfId="0" applyNumberFormat="1" applyFont="1" applyBorder="1" applyAlignment="1">
      <alignment horizontal="center" vertical="center" wrapText="1"/>
    </xf>
    <xf numFmtId="178" fontId="40" fillId="0" borderId="5" xfId="0" applyNumberFormat="1" applyFont="1" applyBorder="1" applyAlignment="1">
      <alignment horizontal="center" vertical="center" wrapText="1"/>
    </xf>
    <xf numFmtId="182" fontId="40" fillId="0" borderId="5" xfId="0" applyNumberFormat="1" applyFont="1" applyBorder="1" applyAlignment="1">
      <alignment horizontal="center" vertical="center" wrapText="1"/>
    </xf>
    <xf numFmtId="0" fontId="40" fillId="0" borderId="1" xfId="0" applyFont="1" applyBorder="1" applyAlignment="1">
      <alignment horizontal="center" vertical="center" wrapText="1" shrinkToFit="1"/>
    </xf>
    <xf numFmtId="0" fontId="40" fillId="0" borderId="10" xfId="0" applyFont="1" applyBorder="1" applyAlignment="1">
      <alignment horizontal="center" vertical="center" wrapText="1" shrinkToFit="1"/>
    </xf>
    <xf numFmtId="0" fontId="40" fillId="0" borderId="5" xfId="0" applyFont="1" applyBorder="1" applyAlignment="1">
      <alignment horizontal="center" vertical="center" wrapText="1" shrinkToFit="1"/>
    </xf>
    <xf numFmtId="0" fontId="0" fillId="0" borderId="1" xfId="0" applyBorder="1" applyAlignment="1">
      <alignment horizontal="center" vertical="center"/>
    </xf>
    <xf numFmtId="184" fontId="24" fillId="0" borderId="4" xfId="0" applyNumberFormat="1" applyFont="1" applyBorder="1">
      <alignment vertical="center"/>
    </xf>
    <xf numFmtId="0" fontId="0" fillId="0" borderId="10" xfId="0" applyBorder="1" applyAlignment="1">
      <alignment horizontal="center" vertical="center"/>
    </xf>
    <xf numFmtId="184" fontId="20" fillId="5" borderId="4" xfId="0" applyNumberFormat="1" applyFont="1" applyFill="1" applyBorder="1">
      <alignment vertical="center"/>
    </xf>
    <xf numFmtId="184" fontId="20" fillId="0" borderId="4" xfId="0" applyNumberFormat="1" applyFont="1" applyBorder="1">
      <alignment vertical="center"/>
    </xf>
    <xf numFmtId="0" fontId="0" fillId="0" borderId="5" xfId="0" applyBorder="1" applyAlignment="1">
      <alignment horizontal="center" vertical="center"/>
    </xf>
    <xf numFmtId="184" fontId="20" fillId="4" borderId="4" xfId="0" applyNumberFormat="1" applyFont="1" applyFill="1" applyBorder="1">
      <alignment vertical="center"/>
    </xf>
    <xf numFmtId="0" fontId="0" fillId="0" borderId="4" xfId="0" applyBorder="1" applyAlignment="1">
      <alignment horizontal="center" vertical="center"/>
    </xf>
    <xf numFmtId="0" fontId="40" fillId="0" borderId="4" xfId="0" applyFont="1" applyBorder="1" applyAlignment="1">
      <alignment horizontal="center" vertical="center" wrapText="1"/>
    </xf>
    <xf numFmtId="184" fontId="38" fillId="0" borderId="8" xfId="0" applyNumberFormat="1" applyFont="1" applyFill="1" applyBorder="1" applyAlignment="1">
      <alignment horizontal="center" vertical="center" wrapText="1"/>
    </xf>
    <xf numFmtId="184" fontId="38" fillId="0" borderId="13" xfId="0" applyNumberFormat="1" applyFont="1" applyFill="1" applyBorder="1" applyAlignment="1">
      <alignment horizontal="center" vertical="center" wrapText="1"/>
    </xf>
    <xf numFmtId="184" fontId="20" fillId="0" borderId="0" xfId="0" applyNumberFormat="1" applyFont="1" applyAlignment="1">
      <alignment vertical="center" wrapText="1"/>
    </xf>
    <xf numFmtId="184" fontId="38" fillId="0" borderId="9" xfId="0" applyNumberFormat="1" applyFont="1" applyFill="1" applyBorder="1" applyAlignment="1">
      <alignment horizontal="center" vertical="center" wrapText="1"/>
    </xf>
    <xf numFmtId="0" fontId="0" fillId="0" borderId="0" xfId="0" applyAlignment="1">
      <alignment vertical="center" wrapText="1"/>
    </xf>
    <xf numFmtId="0" fontId="15" fillId="0" borderId="0" xfId="0" applyFont="1" applyBorder="1" applyAlignment="1">
      <alignment horizontal="center" vertical="center"/>
    </xf>
    <xf numFmtId="0" fontId="10" fillId="0" borderId="14" xfId="0" applyFont="1" applyBorder="1" applyAlignment="1">
      <alignment horizontal="center" vertical="center"/>
    </xf>
    <xf numFmtId="0" fontId="28" fillId="0" borderId="4" xfId="0" applyFont="1" applyBorder="1" applyAlignment="1">
      <alignment horizontal="center" vertical="center"/>
    </xf>
    <xf numFmtId="0" fontId="15" fillId="0" borderId="15" xfId="0" applyFont="1" applyBorder="1" applyAlignment="1">
      <alignment horizontal="center" vertical="center"/>
    </xf>
    <xf numFmtId="0" fontId="15" fillId="0" borderId="4" xfId="0" applyFont="1" applyBorder="1">
      <alignment vertical="center"/>
    </xf>
    <xf numFmtId="176" fontId="13" fillId="0" borderId="4" xfId="0" applyNumberFormat="1" applyFont="1" applyBorder="1">
      <alignment vertical="center"/>
    </xf>
    <xf numFmtId="0" fontId="15" fillId="0" borderId="16" xfId="0" applyFont="1" applyBorder="1" applyAlignment="1">
      <alignment horizontal="center" vertical="center"/>
    </xf>
    <xf numFmtId="176" fontId="15" fillId="0" borderId="4" xfId="0" applyNumberFormat="1" applyFont="1" applyBorder="1">
      <alignment vertical="center"/>
    </xf>
    <xf numFmtId="0" fontId="15" fillId="0" borderId="17" xfId="0" applyFont="1" applyBorder="1" applyAlignment="1">
      <alignment horizontal="center" vertical="center"/>
    </xf>
    <xf numFmtId="176" fontId="13" fillId="0" borderId="4" xfId="0" applyNumberFormat="1" applyFont="1" applyFill="1" applyBorder="1">
      <alignment vertical="center"/>
    </xf>
    <xf numFmtId="0" fontId="0" fillId="0" borderId="15" xfId="0" applyBorder="1" applyAlignment="1">
      <alignment horizontal="center" vertical="center"/>
    </xf>
    <xf numFmtId="176" fontId="15" fillId="0" borderId="4" xfId="0" applyNumberFormat="1" applyFont="1" applyFill="1" applyBorder="1">
      <alignment vertical="center"/>
    </xf>
    <xf numFmtId="176" fontId="0" fillId="0" borderId="4" xfId="0" applyNumberFormat="1" applyBorder="1">
      <alignment vertical="center"/>
    </xf>
    <xf numFmtId="0" fontId="12" fillId="0" borderId="11" xfId="0" applyFont="1" applyBorder="1" applyAlignment="1">
      <alignment vertical="center"/>
    </xf>
    <xf numFmtId="0" fontId="43" fillId="0" borderId="11" xfId="0" applyFont="1" applyBorder="1" applyAlignment="1">
      <alignment horizontal="center" vertical="center"/>
    </xf>
    <xf numFmtId="0" fontId="13" fillId="0" borderId="4" xfId="0" applyFont="1" applyBorder="1" applyAlignment="1">
      <alignment horizontal="center" vertical="center" wrapText="1"/>
    </xf>
    <xf numFmtId="0" fontId="0" fillId="0" borderId="4" xfId="0" applyBorder="1">
      <alignment vertical="center"/>
    </xf>
    <xf numFmtId="0" fontId="13" fillId="0" borderId="1" xfId="0" applyFont="1" applyBorder="1" applyAlignment="1">
      <alignment horizontal="center" vertical="center" wrapText="1"/>
    </xf>
    <xf numFmtId="0" fontId="13" fillId="0" borderId="10" xfId="0" applyFont="1" applyBorder="1" applyAlignment="1">
      <alignment horizontal="center" vertical="center" wrapText="1"/>
    </xf>
    <xf numFmtId="0" fontId="13" fillId="0" borderId="5" xfId="0" applyFont="1" applyBorder="1" applyAlignment="1">
      <alignment horizontal="center" vertical="center" wrapText="1"/>
    </xf>
    <xf numFmtId="0" fontId="0" fillId="0" borderId="4" xfId="0" applyBorder="1" applyAlignment="1">
      <alignment horizontal="center"/>
    </xf>
    <xf numFmtId="0" fontId="0" fillId="0" borderId="4" xfId="0" applyFill="1" applyBorder="1">
      <alignment vertical="center"/>
    </xf>
    <xf numFmtId="0" fontId="15" fillId="0" borderId="1" xfId="0" applyFont="1" applyBorder="1" applyAlignment="1">
      <alignment horizontal="center" vertical="center"/>
    </xf>
    <xf numFmtId="0" fontId="15" fillId="0" borderId="10" xfId="0" applyFont="1" applyBorder="1" applyAlignment="1">
      <alignment horizontal="center" vertical="center"/>
    </xf>
    <xf numFmtId="0" fontId="15" fillId="0" borderId="5" xfId="0" applyFont="1" applyBorder="1" applyAlignment="1">
      <alignment horizontal="center" vertical="center"/>
    </xf>
    <xf numFmtId="0" fontId="44" fillId="0" borderId="0" xfId="0" applyFont="1" applyAlignment="1">
      <alignment horizontal="center" vertical="center"/>
    </xf>
    <xf numFmtId="0" fontId="15" fillId="0" borderId="10" xfId="0" applyFont="1" applyFill="1" applyBorder="1">
      <alignment vertical="center"/>
    </xf>
    <xf numFmtId="0" fontId="0" fillId="0" borderId="4" xfId="0" applyBorder="1" applyAlignment="1">
      <alignment vertical="center" wrapText="1"/>
    </xf>
    <xf numFmtId="0" fontId="0" fillId="4" borderId="4" xfId="0" applyFill="1" applyBorder="1" applyAlignment="1">
      <alignment vertical="center" wrapText="1"/>
    </xf>
    <xf numFmtId="0" fontId="28" fillId="0" borderId="4" xfId="0" applyFont="1" applyBorder="1" applyAlignment="1">
      <alignment horizontal="center" vertical="center" wrapText="1"/>
    </xf>
    <xf numFmtId="176" fontId="15" fillId="0" borderId="4" xfId="0" applyNumberFormat="1" applyFont="1" applyBorder="1" applyAlignment="1">
      <alignment horizontal="right" vertical="center"/>
    </xf>
    <xf numFmtId="0" fontId="17" fillId="0" borderId="0" xfId="0" applyFont="1" applyAlignment="1">
      <alignment horizontal="center" vertical="center"/>
    </xf>
    <xf numFmtId="0" fontId="45" fillId="0" borderId="0" xfId="0" applyFont="1" applyAlignment="1">
      <alignment horizontal="center" vertical="center"/>
    </xf>
    <xf numFmtId="0" fontId="17" fillId="5" borderId="0" xfId="0" applyFont="1" applyFill="1" applyAlignment="1">
      <alignment horizontal="center" vertical="center"/>
    </xf>
    <xf numFmtId="0" fontId="45" fillId="0" borderId="0" xfId="0" applyFont="1">
      <alignment vertical="center"/>
    </xf>
    <xf numFmtId="0" fontId="17" fillId="0" borderId="0" xfId="0" applyFont="1">
      <alignment vertical="center"/>
    </xf>
    <xf numFmtId="0" fontId="12" fillId="0" borderId="11" xfId="0" applyFont="1" applyBorder="1" applyAlignment="1">
      <alignment horizontal="center" vertical="center" wrapText="1"/>
    </xf>
    <xf numFmtId="187" fontId="8" fillId="0" borderId="4" xfId="0" applyNumberFormat="1" applyFont="1" applyBorder="1" applyAlignment="1">
      <alignment horizontal="center" vertical="center"/>
    </xf>
    <xf numFmtId="180" fontId="8" fillId="0" borderId="4" xfId="0" applyNumberFormat="1" applyFont="1" applyBorder="1" applyAlignment="1">
      <alignment horizontal="center" vertical="center"/>
    </xf>
    <xf numFmtId="181" fontId="16" fillId="0" borderId="4" xfId="0" applyNumberFormat="1" applyFont="1" applyBorder="1" applyAlignment="1">
      <alignment horizontal="center" vertical="center"/>
    </xf>
    <xf numFmtId="180" fontId="26" fillId="0" borderId="4" xfId="0" applyNumberFormat="1" applyFont="1" applyBorder="1" applyAlignment="1">
      <alignment horizontal="center" vertical="center"/>
    </xf>
    <xf numFmtId="0" fontId="15" fillId="0" borderId="11" xfId="0" applyFont="1" applyBorder="1" applyAlignment="1">
      <alignment horizontal="center" vertical="center"/>
    </xf>
    <xf numFmtId="0" fontId="10" fillId="5" borderId="4" xfId="0" applyFont="1" applyFill="1" applyBorder="1" applyAlignment="1">
      <alignment horizontal="center" vertical="center"/>
    </xf>
    <xf numFmtId="0" fontId="10" fillId="5" borderId="4" xfId="0" applyFont="1" applyFill="1" applyBorder="1" applyAlignment="1">
      <alignment horizontal="center" vertical="center" wrapText="1"/>
    </xf>
    <xf numFmtId="180" fontId="10" fillId="0" borderId="4" xfId="0" applyNumberFormat="1" applyFont="1" applyBorder="1" applyAlignment="1">
      <alignment horizontal="center" vertical="center"/>
    </xf>
    <xf numFmtId="176" fontId="16" fillId="0" borderId="4" xfId="0" applyNumberFormat="1" applyFont="1" applyBorder="1" applyAlignment="1">
      <alignment horizontal="center" vertical="center"/>
    </xf>
    <xf numFmtId="176" fontId="8" fillId="0" borderId="4" xfId="0" applyNumberFormat="1" applyFont="1" applyBorder="1" applyAlignment="1">
      <alignment horizontal="center" vertical="center"/>
    </xf>
    <xf numFmtId="176" fontId="10" fillId="0" borderId="4" xfId="0" applyNumberFormat="1" applyFont="1" applyBorder="1" applyAlignment="1">
      <alignment horizontal="center" vertical="center"/>
    </xf>
    <xf numFmtId="176" fontId="10" fillId="5" borderId="4" xfId="0" applyNumberFormat="1" applyFont="1" applyFill="1" applyBorder="1" applyAlignment="1">
      <alignment horizontal="center" vertical="center" wrapText="1"/>
    </xf>
    <xf numFmtId="0" fontId="28" fillId="0" borderId="1" xfId="0" applyFont="1" applyBorder="1" applyAlignment="1">
      <alignment vertical="center"/>
    </xf>
    <xf numFmtId="180" fontId="29" fillId="0" borderId="4" xfId="0" applyNumberFormat="1" applyFont="1" applyBorder="1" applyAlignment="1">
      <alignment horizontal="center" vertical="center"/>
    </xf>
    <xf numFmtId="176" fontId="29" fillId="0" borderId="4" xfId="0" applyNumberFormat="1" applyFont="1" applyBorder="1" applyAlignment="1">
      <alignment horizontal="center" vertical="center"/>
    </xf>
    <xf numFmtId="0" fontId="10" fillId="0" borderId="1" xfId="0" applyFont="1" applyBorder="1" applyAlignment="1">
      <alignment vertical="center"/>
    </xf>
    <xf numFmtId="176" fontId="26" fillId="0" borderId="4" xfId="0" applyNumberFormat="1" applyFont="1" applyBorder="1" applyAlignment="1">
      <alignment horizontal="center" vertical="center"/>
    </xf>
    <xf numFmtId="0" fontId="26" fillId="0" borderId="0" xfId="0" applyFont="1">
      <alignment vertical="center"/>
    </xf>
    <xf numFmtId="0" fontId="10" fillId="0" borderId="4" xfId="0" applyFont="1" applyBorder="1">
      <alignment vertical="center"/>
    </xf>
    <xf numFmtId="181" fontId="26" fillId="0" borderId="4" xfId="0" applyNumberFormat="1" applyFont="1" applyBorder="1">
      <alignment vertical="center"/>
    </xf>
    <xf numFmtId="181" fontId="8" fillId="0" borderId="4" xfId="0" applyNumberFormat="1" applyFont="1" applyBorder="1">
      <alignment vertical="center"/>
    </xf>
    <xf numFmtId="180" fontId="16" fillId="0" borderId="4" xfId="0" applyNumberFormat="1" applyFont="1" applyBorder="1" applyAlignment="1">
      <alignment horizontal="center" vertical="center"/>
    </xf>
    <xf numFmtId="187" fontId="16" fillId="0" borderId="4" xfId="0" applyNumberFormat="1" applyFont="1" applyBorder="1" applyAlignment="1">
      <alignment horizontal="center" vertical="center"/>
    </xf>
    <xf numFmtId="0" fontId="16" fillId="0" borderId="4" xfId="0" applyFont="1" applyBorder="1" applyAlignment="1">
      <alignment horizontal="center" vertical="center" wrapText="1"/>
    </xf>
    <xf numFmtId="0" fontId="26" fillId="0" borderId="4" xfId="0" applyFont="1" applyBorder="1" applyAlignment="1">
      <alignment horizontal="center" vertical="center"/>
    </xf>
    <xf numFmtId="0" fontId="16" fillId="0" borderId="5" xfId="0" applyFont="1" applyBorder="1" applyAlignment="1">
      <alignment horizontal="center" vertical="center" wrapText="1"/>
    </xf>
    <xf numFmtId="187" fontId="26" fillId="0" borderId="4" xfId="0" applyNumberFormat="1" applyFont="1" applyBorder="1" applyAlignment="1">
      <alignment horizontal="center" vertical="center"/>
    </xf>
    <xf numFmtId="0" fontId="12" fillId="0" borderId="4" xfId="0" applyFont="1" applyBorder="1">
      <alignment vertical="center"/>
    </xf>
    <xf numFmtId="0" fontId="19" fillId="0" borderId="4" xfId="0" applyFont="1" applyBorder="1">
      <alignment vertical="center"/>
    </xf>
    <xf numFmtId="0" fontId="46" fillId="0" borderId="0" xfId="0" applyFont="1" applyFill="1" applyAlignment="1">
      <alignment vertical="center"/>
    </xf>
    <xf numFmtId="0" fontId="46" fillId="0" borderId="0" xfId="0" applyFont="1" applyFill="1">
      <alignment vertical="center"/>
    </xf>
    <xf numFmtId="0" fontId="47" fillId="0" borderId="0" xfId="0" applyFont="1" applyFill="1">
      <alignment vertical="center"/>
    </xf>
    <xf numFmtId="0" fontId="48" fillId="0" borderId="0" xfId="0" applyFont="1" applyFill="1">
      <alignment vertical="center"/>
    </xf>
    <xf numFmtId="0" fontId="48" fillId="0" borderId="0" xfId="0" applyFont="1" applyFill="1" applyAlignment="1">
      <alignment horizontal="left" vertical="center"/>
    </xf>
    <xf numFmtId="0" fontId="49" fillId="0" borderId="0" xfId="0" applyFont="1" applyFill="1" applyBorder="1" applyAlignment="1">
      <alignment horizontal="center" vertical="center"/>
    </xf>
    <xf numFmtId="0" fontId="7" fillId="0" borderId="4" xfId="0" applyFont="1" applyFill="1" applyBorder="1" applyAlignment="1">
      <alignment horizontal="center" vertical="center"/>
    </xf>
    <xf numFmtId="0" fontId="7" fillId="0" borderId="1" xfId="0" applyFont="1" applyFill="1" applyBorder="1" applyAlignment="1">
      <alignment horizontal="center" vertical="center"/>
    </xf>
    <xf numFmtId="0" fontId="7" fillId="0" borderId="8" xfId="0" applyFont="1" applyFill="1" applyBorder="1" applyAlignment="1">
      <alignment horizontal="center" vertical="center"/>
    </xf>
    <xf numFmtId="0" fontId="7" fillId="0" borderId="13" xfId="0" applyFont="1" applyFill="1" applyBorder="1" applyAlignment="1">
      <alignment horizontal="center" vertical="center"/>
    </xf>
    <xf numFmtId="0" fontId="7" fillId="0" borderId="5" xfId="0" applyFont="1" applyFill="1" applyBorder="1" applyAlignment="1">
      <alignment horizontal="center" vertical="center"/>
    </xf>
    <xf numFmtId="184" fontId="7" fillId="0" borderId="8" xfId="0" applyNumberFormat="1" applyFont="1" applyFill="1" applyBorder="1" applyAlignment="1">
      <alignment horizontal="center" vertical="center"/>
    </xf>
    <xf numFmtId="184" fontId="7" fillId="0" borderId="4" xfId="0" applyNumberFormat="1" applyFont="1" applyFill="1" applyBorder="1" applyAlignment="1">
      <alignment horizontal="center" vertical="center"/>
    </xf>
    <xf numFmtId="0" fontId="7" fillId="0" borderId="10" xfId="0" applyFont="1" applyFill="1" applyBorder="1" applyAlignment="1">
      <alignment horizontal="center" vertical="center"/>
    </xf>
    <xf numFmtId="184" fontId="6" fillId="0" borderId="8" xfId="0" applyNumberFormat="1" applyFont="1" applyFill="1" applyBorder="1" applyAlignment="1">
      <alignment horizontal="center" vertical="center"/>
    </xf>
    <xf numFmtId="184" fontId="6" fillId="0" borderId="4" xfId="0" applyNumberFormat="1" applyFont="1" applyFill="1" applyBorder="1" applyAlignment="1">
      <alignment horizontal="center" vertical="center"/>
    </xf>
    <xf numFmtId="0" fontId="7" fillId="0" borderId="1" xfId="0" applyFont="1" applyFill="1" applyBorder="1" applyAlignment="1">
      <alignment horizontal="center" vertical="center" wrapText="1"/>
    </xf>
    <xf numFmtId="184" fontId="7" fillId="0" borderId="5" xfId="0" applyNumberFormat="1" applyFont="1" applyFill="1" applyBorder="1" applyAlignment="1">
      <alignment horizontal="center" vertical="center"/>
    </xf>
    <xf numFmtId="0" fontId="7" fillId="0" borderId="10" xfId="0" applyFont="1" applyFill="1" applyBorder="1" applyAlignment="1">
      <alignment horizontal="center" vertical="center" wrapText="1"/>
    </xf>
    <xf numFmtId="184" fontId="6" fillId="0" borderId="5" xfId="0" applyNumberFormat="1" applyFont="1" applyFill="1" applyBorder="1" applyAlignment="1">
      <alignment horizontal="center" vertical="center"/>
    </xf>
    <xf numFmtId="0" fontId="7" fillId="0" borderId="5" xfId="0"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10" xfId="0" applyFont="1" applyFill="1" applyBorder="1" applyAlignment="1">
      <alignment horizontal="center" vertical="center"/>
    </xf>
    <xf numFmtId="0" fontId="6" fillId="0" borderId="10" xfId="0" applyFont="1" applyFill="1" applyBorder="1" applyAlignment="1">
      <alignment horizontal="left" vertical="center"/>
    </xf>
    <xf numFmtId="184" fontId="7" fillId="0" borderId="0" xfId="0" applyNumberFormat="1" applyFont="1" applyFill="1">
      <alignment vertical="center"/>
    </xf>
    <xf numFmtId="0" fontId="6" fillId="0" borderId="5" xfId="0" applyFont="1" applyFill="1" applyBorder="1" applyAlignment="1">
      <alignment horizontal="center" vertical="center"/>
    </xf>
    <xf numFmtId="0" fontId="6" fillId="0" borderId="4" xfId="0" applyFont="1" applyFill="1" applyBorder="1" applyAlignment="1">
      <alignment horizontal="left" vertical="center" wrapText="1"/>
    </xf>
    <xf numFmtId="0" fontId="7" fillId="0" borderId="1" xfId="0" applyNumberFormat="1" applyFont="1" applyFill="1" applyBorder="1" applyAlignment="1">
      <alignment horizontal="center" vertical="center"/>
    </xf>
    <xf numFmtId="0" fontId="7" fillId="0" borderId="10" xfId="0" applyNumberFormat="1" applyFont="1" applyFill="1" applyBorder="1" applyAlignment="1">
      <alignment horizontal="center" vertical="center"/>
    </xf>
    <xf numFmtId="184" fontId="6" fillId="0" borderId="0" xfId="0" applyNumberFormat="1" applyFont="1" applyFill="1" applyBorder="1" applyAlignment="1">
      <alignment horizontal="center" vertical="center"/>
    </xf>
    <xf numFmtId="0" fontId="7" fillId="0" borderId="5" xfId="0" applyNumberFormat="1" applyFont="1" applyFill="1" applyBorder="1" applyAlignment="1">
      <alignment horizontal="center" vertical="center"/>
    </xf>
    <xf numFmtId="0" fontId="7" fillId="0" borderId="12" xfId="0" applyFont="1" applyFill="1" applyBorder="1" applyAlignment="1">
      <alignment horizontal="center" vertical="center"/>
    </xf>
    <xf numFmtId="0" fontId="7" fillId="0" borderId="3" xfId="0" applyFont="1" applyFill="1" applyBorder="1" applyAlignment="1">
      <alignment horizontal="center" vertical="center"/>
    </xf>
    <xf numFmtId="10" fontId="7" fillId="0" borderId="4" xfId="0" applyNumberFormat="1" applyFont="1" applyFill="1" applyBorder="1" applyAlignment="1">
      <alignment horizontal="center" vertical="center"/>
    </xf>
    <xf numFmtId="0" fontId="7" fillId="0" borderId="0" xfId="0" applyFont="1" applyFill="1" applyBorder="1" applyAlignment="1">
      <alignment horizontal="center" vertical="center"/>
    </xf>
    <xf numFmtId="0" fontId="7" fillId="0" borderId="18" xfId="0" applyFont="1" applyFill="1" applyBorder="1" applyAlignment="1">
      <alignment horizontal="center" vertical="center"/>
    </xf>
    <xf numFmtId="10" fontId="6" fillId="0" borderId="4" xfId="0" applyNumberFormat="1" applyFont="1" applyFill="1" applyBorder="1" applyAlignment="1">
      <alignment horizontal="center" vertical="center"/>
    </xf>
    <xf numFmtId="0" fontId="7" fillId="0" borderId="7" xfId="0" applyFont="1" applyFill="1" applyBorder="1" applyAlignment="1">
      <alignment horizontal="center" vertical="center"/>
    </xf>
    <xf numFmtId="0" fontId="50" fillId="0" borderId="0" xfId="0" applyFont="1" applyFill="1" applyAlignment="1">
      <alignment vertical="center" wrapText="1"/>
    </xf>
    <xf numFmtId="0" fontId="7" fillId="0" borderId="9" xfId="0" applyFont="1" applyFill="1" applyBorder="1" applyAlignment="1">
      <alignment horizontal="center" vertical="center"/>
    </xf>
    <xf numFmtId="184" fontId="6" fillId="0" borderId="19" xfId="0" applyNumberFormat="1" applyFont="1" applyFill="1" applyBorder="1" applyAlignment="1">
      <alignment horizontal="center" vertical="center"/>
    </xf>
    <xf numFmtId="184" fontId="48" fillId="0" borderId="0" xfId="0" applyNumberFormat="1" applyFont="1" applyFill="1">
      <alignment vertical="center"/>
    </xf>
    <xf numFmtId="0" fontId="48" fillId="0" borderId="0" xfId="0" applyFont="1" applyAlignment="1">
      <alignment horizontal="center" vertical="center"/>
    </xf>
    <xf numFmtId="184" fontId="48" fillId="0" borderId="0" xfId="0" applyNumberFormat="1" applyFont="1" applyAlignment="1">
      <alignment horizontal="center" vertical="center"/>
    </xf>
    <xf numFmtId="0" fontId="51" fillId="0" borderId="0" xfId="0" applyFont="1" applyAlignment="1">
      <alignment horizontal="center" vertical="center"/>
    </xf>
    <xf numFmtId="0" fontId="52" fillId="0" borderId="20" xfId="0" applyFont="1" applyBorder="1" applyAlignment="1">
      <alignment horizontal="center" vertical="center" wrapText="1"/>
    </xf>
    <xf numFmtId="184" fontId="52" fillId="0" borderId="20" xfId="0" applyNumberFormat="1" applyFont="1" applyBorder="1" applyAlignment="1">
      <alignment horizontal="center" vertical="center" wrapText="1"/>
    </xf>
    <xf numFmtId="184" fontId="53" fillId="7" borderId="21" xfId="0" applyNumberFormat="1" applyFont="1" applyFill="1" applyBorder="1" applyAlignment="1">
      <alignment horizontal="center" vertical="center" wrapText="1"/>
    </xf>
    <xf numFmtId="184" fontId="53" fillId="0" borderId="14" xfId="0" applyNumberFormat="1" applyFont="1" applyBorder="1" applyAlignment="1">
      <alignment horizontal="center" vertical="center" wrapText="1"/>
    </xf>
    <xf numFmtId="184" fontId="53" fillId="0" borderId="19" xfId="0" applyNumberFormat="1" applyFont="1" applyBorder="1" applyAlignment="1">
      <alignment horizontal="center" vertical="center" wrapText="1"/>
    </xf>
    <xf numFmtId="0" fontId="52" fillId="0" borderId="22" xfId="0" applyFont="1" applyBorder="1" applyAlignment="1">
      <alignment horizontal="center" vertical="center" wrapText="1"/>
    </xf>
    <xf numFmtId="184" fontId="52" fillId="0" borderId="22" xfId="0" applyNumberFormat="1" applyFont="1" applyBorder="1" applyAlignment="1">
      <alignment horizontal="center" vertical="center" wrapText="1"/>
    </xf>
    <xf numFmtId="184" fontId="53" fillId="7" borderId="23" xfId="0" applyNumberFormat="1" applyFont="1" applyFill="1" applyBorder="1" applyAlignment="1">
      <alignment horizontal="center" vertical="center" wrapText="1"/>
    </xf>
    <xf numFmtId="184" fontId="53" fillId="0" borderId="24" xfId="0" applyNumberFormat="1" applyFont="1" applyBorder="1" applyAlignment="1">
      <alignment horizontal="center" vertical="center" wrapText="1"/>
    </xf>
    <xf numFmtId="0" fontId="52" fillId="0" borderId="25" xfId="0" applyFont="1" applyBorder="1" applyAlignment="1">
      <alignment horizontal="center" vertical="center" wrapText="1"/>
    </xf>
    <xf numFmtId="184" fontId="52" fillId="0" borderId="25" xfId="0" applyNumberFormat="1" applyFont="1" applyBorder="1" applyAlignment="1">
      <alignment horizontal="center" vertical="center" wrapText="1"/>
    </xf>
    <xf numFmtId="184" fontId="54" fillId="7" borderId="26" xfId="0" applyNumberFormat="1" applyFont="1" applyFill="1" applyBorder="1" applyAlignment="1">
      <alignment horizontal="center" vertical="center" wrapText="1"/>
    </xf>
    <xf numFmtId="184" fontId="53" fillId="0" borderId="27" xfId="0" applyNumberFormat="1" applyFont="1" applyBorder="1" applyAlignment="1">
      <alignment horizontal="center" vertical="center" wrapText="1"/>
    </xf>
    <xf numFmtId="0" fontId="55" fillId="0" borderId="25" xfId="0" applyFont="1" applyBorder="1" applyAlignment="1">
      <alignment horizontal="center" vertical="center" wrapText="1"/>
    </xf>
    <xf numFmtId="0" fontId="55" fillId="0" borderId="26" xfId="0" applyFont="1" applyBorder="1" applyAlignment="1">
      <alignment horizontal="center" vertical="center" wrapText="1"/>
    </xf>
    <xf numFmtId="184" fontId="55" fillId="0" borderId="26" xfId="0" applyNumberFormat="1" applyFont="1" applyBorder="1" applyAlignment="1">
      <alignment horizontal="center" vertical="center" wrapText="1"/>
    </xf>
    <xf numFmtId="184" fontId="55" fillId="0" borderId="27" xfId="0" applyNumberFormat="1" applyFont="1" applyBorder="1" applyAlignment="1">
      <alignment horizontal="center" vertical="center" wrapText="1"/>
    </xf>
    <xf numFmtId="184" fontId="55" fillId="0" borderId="0" xfId="0" applyNumberFormat="1" applyFont="1" applyBorder="1" applyAlignment="1">
      <alignment horizontal="center" vertical="center" wrapText="1"/>
    </xf>
    <xf numFmtId="0" fontId="55" fillId="0" borderId="20" xfId="0" applyFont="1" applyBorder="1" applyAlignment="1">
      <alignment horizontal="center" vertical="center" wrapText="1"/>
    </xf>
    <xf numFmtId="0" fontId="55" fillId="0" borderId="23" xfId="0" applyFont="1" applyBorder="1" applyAlignment="1">
      <alignment horizontal="center" vertical="center" wrapText="1"/>
    </xf>
    <xf numFmtId="184" fontId="55" fillId="0" borderId="20" xfId="0" applyNumberFormat="1" applyFont="1" applyBorder="1" applyAlignment="1">
      <alignment horizontal="center" vertical="center" wrapText="1"/>
    </xf>
    <xf numFmtId="184" fontId="55" fillId="7" borderId="20" xfId="0" applyNumberFormat="1" applyFont="1" applyFill="1" applyBorder="1" applyAlignment="1">
      <alignment horizontal="center" vertical="center" wrapText="1"/>
    </xf>
    <xf numFmtId="184" fontId="55" fillId="0" borderId="14" xfId="0" applyNumberFormat="1" applyFont="1" applyBorder="1" applyAlignment="1">
      <alignment horizontal="center" vertical="center" wrapText="1"/>
    </xf>
    <xf numFmtId="184" fontId="55" fillId="0" borderId="25" xfId="0" applyNumberFormat="1" applyFont="1" applyBorder="1" applyAlignment="1">
      <alignment horizontal="center" vertical="center" wrapText="1"/>
    </xf>
    <xf numFmtId="184" fontId="55" fillId="7" borderId="25" xfId="0" applyNumberFormat="1" applyFont="1" applyFill="1" applyBorder="1" applyAlignment="1">
      <alignment horizontal="center" vertical="center" wrapText="1"/>
    </xf>
    <xf numFmtId="184" fontId="55" fillId="7" borderId="26" xfId="0" applyNumberFormat="1" applyFont="1" applyFill="1" applyBorder="1" applyAlignment="1">
      <alignment horizontal="center" vertical="center" wrapText="1"/>
    </xf>
    <xf numFmtId="0" fontId="56" fillId="0" borderId="26" xfId="0" applyFont="1" applyBorder="1" applyAlignment="1">
      <alignment horizontal="center" vertical="center" wrapText="1"/>
    </xf>
    <xf numFmtId="0" fontId="48" fillId="0" borderId="0" xfId="0" applyFont="1" applyAlignment="1">
      <alignment horizontal="center" vertical="center" wrapText="1"/>
    </xf>
    <xf numFmtId="184" fontId="55" fillId="0" borderId="28" xfId="0" applyNumberFormat="1" applyFont="1" applyBorder="1" applyAlignment="1">
      <alignment vertical="center" wrapText="1"/>
    </xf>
    <xf numFmtId="180" fontId="48" fillId="0" borderId="0" xfId="0" applyNumberFormat="1" applyFont="1" applyAlignment="1">
      <alignment horizontal="center" vertical="center"/>
    </xf>
    <xf numFmtId="185" fontId="1" fillId="0" borderId="0" xfId="0" applyNumberFormat="1" applyFont="1">
      <alignment vertical="center"/>
    </xf>
    <xf numFmtId="183" fontId="2" fillId="0" borderId="0" xfId="0" applyNumberFormat="1" applyFont="1">
      <alignment vertical="center"/>
    </xf>
    <xf numFmtId="185" fontId="2" fillId="0" borderId="0" xfId="0" applyNumberFormat="1" applyFont="1">
      <alignment vertical="center"/>
    </xf>
    <xf numFmtId="184" fontId="2" fillId="0" borderId="0" xfId="0" applyNumberFormat="1" applyFont="1">
      <alignment vertical="center"/>
    </xf>
    <xf numFmtId="184" fontId="2" fillId="0" borderId="0" xfId="0" applyNumberFormat="1" applyFont="1" applyFill="1">
      <alignment vertical="center"/>
    </xf>
    <xf numFmtId="185" fontId="57" fillId="0" borderId="0" xfId="0" applyNumberFormat="1" applyFont="1" applyAlignment="1">
      <alignment vertical="center" wrapText="1"/>
    </xf>
    <xf numFmtId="185" fontId="9" fillId="0" borderId="0" xfId="0" applyNumberFormat="1" applyFont="1" applyBorder="1" applyAlignment="1">
      <alignment horizontal="center" vertical="center"/>
    </xf>
    <xf numFmtId="183" fontId="9" fillId="0" borderId="11" xfId="0" applyNumberFormat="1" applyFont="1" applyBorder="1" applyAlignment="1">
      <alignment horizontal="center" vertical="center"/>
    </xf>
    <xf numFmtId="184" fontId="9" fillId="0" borderId="11" xfId="0" applyNumberFormat="1" applyFont="1" applyBorder="1" applyAlignment="1">
      <alignment horizontal="center" vertical="center"/>
    </xf>
    <xf numFmtId="184" fontId="9" fillId="0" borderId="0" xfId="0" applyNumberFormat="1" applyFont="1" applyFill="1" applyBorder="1" applyAlignment="1">
      <alignment horizontal="center" vertical="center"/>
    </xf>
    <xf numFmtId="184" fontId="26" fillId="0" borderId="0" xfId="0" applyNumberFormat="1" applyFont="1">
      <alignment vertical="center"/>
    </xf>
    <xf numFmtId="184" fontId="10" fillId="0" borderId="0" xfId="0" applyNumberFormat="1" applyFont="1">
      <alignment vertical="center"/>
    </xf>
    <xf numFmtId="183" fontId="10" fillId="2" borderId="4" xfId="49" applyNumberFormat="1" applyFont="1" applyFill="1" applyBorder="1" applyAlignment="1">
      <alignment horizontal="center" vertical="center"/>
    </xf>
    <xf numFmtId="185" fontId="10" fillId="2" borderId="1" xfId="49" applyNumberFormat="1" applyFont="1" applyFill="1" applyBorder="1" applyAlignment="1">
      <alignment horizontal="center" vertical="center" wrapText="1"/>
    </xf>
    <xf numFmtId="184" fontId="10" fillId="2" borderId="4" xfId="49" applyNumberFormat="1" applyFont="1" applyFill="1" applyBorder="1" applyAlignment="1">
      <alignment horizontal="center" vertical="center"/>
    </xf>
    <xf numFmtId="184" fontId="10" fillId="0" borderId="4" xfId="49" applyNumberFormat="1" applyFont="1" applyFill="1" applyBorder="1" applyAlignment="1">
      <alignment horizontal="center" vertical="center"/>
    </xf>
    <xf numFmtId="184" fontId="10" fillId="2" borderId="8" xfId="49" applyNumberFormat="1" applyFont="1" applyFill="1" applyBorder="1" applyAlignment="1">
      <alignment horizontal="center" vertical="center"/>
    </xf>
    <xf numFmtId="184" fontId="10" fillId="2" borderId="13" xfId="49" applyNumberFormat="1" applyFont="1" applyFill="1" applyBorder="1" applyAlignment="1">
      <alignment horizontal="center" vertical="center"/>
    </xf>
    <xf numFmtId="184" fontId="10" fillId="2" borderId="9" xfId="49" applyNumberFormat="1" applyFont="1" applyFill="1" applyBorder="1" applyAlignment="1">
      <alignment horizontal="center" vertical="center"/>
    </xf>
    <xf numFmtId="185" fontId="10" fillId="2" borderId="5" xfId="49" applyNumberFormat="1" applyFont="1" applyFill="1" applyBorder="1" applyAlignment="1">
      <alignment horizontal="center" vertical="center" wrapText="1"/>
    </xf>
    <xf numFmtId="183" fontId="18" fillId="0" borderId="4" xfId="0" applyNumberFormat="1" applyFont="1" applyBorder="1" applyAlignment="1">
      <alignment horizontal="center" vertical="center"/>
    </xf>
    <xf numFmtId="185" fontId="18" fillId="0" borderId="4" xfId="0" applyNumberFormat="1" applyFont="1" applyBorder="1" applyAlignment="1">
      <alignment vertical="center" wrapText="1"/>
    </xf>
    <xf numFmtId="184" fontId="18" fillId="0" borderId="4" xfId="0" applyNumberFormat="1" applyFont="1" applyBorder="1" applyAlignment="1">
      <alignment vertical="center"/>
    </xf>
    <xf numFmtId="184" fontId="18" fillId="0" borderId="4" xfId="0" applyNumberFormat="1" applyFont="1" applyFill="1" applyBorder="1" applyAlignment="1">
      <alignment vertical="center"/>
    </xf>
    <xf numFmtId="184" fontId="8" fillId="0" borderId="4" xfId="0" applyNumberFormat="1" applyFont="1" applyBorder="1">
      <alignment vertical="center"/>
    </xf>
    <xf numFmtId="183" fontId="11" fillId="0" borderId="4" xfId="0" applyNumberFormat="1" applyFont="1" applyBorder="1" applyAlignment="1">
      <alignment horizontal="center" vertical="center"/>
    </xf>
    <xf numFmtId="185" fontId="11" fillId="0" borderId="4" xfId="0" applyNumberFormat="1" applyFont="1" applyBorder="1" applyAlignment="1">
      <alignment vertical="center"/>
    </xf>
    <xf numFmtId="184" fontId="11" fillId="0" borderId="4" xfId="0" applyNumberFormat="1" applyFont="1" applyFill="1" applyBorder="1" applyAlignment="1">
      <alignment vertical="center"/>
    </xf>
    <xf numFmtId="185" fontId="11" fillId="0" borderId="4" xfId="0" applyNumberFormat="1" applyFont="1" applyFill="1" applyBorder="1" applyAlignment="1">
      <alignment vertical="center"/>
    </xf>
    <xf numFmtId="184" fontId="11" fillId="0" borderId="4" xfId="0" applyNumberFormat="1" applyFont="1" applyFill="1" applyBorder="1" applyAlignment="1">
      <alignment horizontal="center" vertical="center"/>
    </xf>
    <xf numFmtId="184" fontId="26" fillId="0" borderId="4" xfId="0" applyNumberFormat="1" applyFont="1" applyBorder="1">
      <alignment vertical="center"/>
    </xf>
    <xf numFmtId="183" fontId="10" fillId="0" borderId="4" xfId="0" applyNumberFormat="1" applyFont="1" applyFill="1" applyBorder="1" applyAlignment="1">
      <alignment horizontal="center" vertical="center" wrapText="1"/>
    </xf>
    <xf numFmtId="185" fontId="10" fillId="0" borderId="4" xfId="0" applyNumberFormat="1" applyFont="1" applyFill="1" applyBorder="1" applyAlignment="1">
      <alignment horizontal="center" vertical="center" wrapText="1"/>
    </xf>
    <xf numFmtId="183" fontId="16" fillId="0" borderId="4" xfId="0" applyNumberFormat="1" applyFont="1" applyFill="1" applyBorder="1" applyAlignment="1">
      <alignment horizontal="center" vertical="center"/>
    </xf>
    <xf numFmtId="185" fontId="16" fillId="0" borderId="9" xfId="0" applyNumberFormat="1" applyFont="1" applyFill="1" applyBorder="1" applyAlignment="1">
      <alignment horizontal="left" vertical="center"/>
    </xf>
    <xf numFmtId="184" fontId="16" fillId="0" borderId="4" xfId="0" applyNumberFormat="1" applyFont="1" applyFill="1" applyBorder="1" applyAlignment="1">
      <alignment horizontal="center" vertical="center" wrapText="1"/>
    </xf>
    <xf numFmtId="184" fontId="8" fillId="0" borderId="8" xfId="0" applyNumberFormat="1" applyFont="1" applyBorder="1" applyAlignment="1">
      <alignment horizontal="center" vertical="center"/>
    </xf>
    <xf numFmtId="184" fontId="8" fillId="0" borderId="13" xfId="0" applyNumberFormat="1" applyFont="1" applyBorder="1" applyAlignment="1">
      <alignment horizontal="center" vertical="center"/>
    </xf>
    <xf numFmtId="184" fontId="8" fillId="0" borderId="9" xfId="0" applyNumberFormat="1" applyFont="1" applyBorder="1" applyAlignment="1">
      <alignment horizontal="center" vertical="center"/>
    </xf>
    <xf numFmtId="185" fontId="16" fillId="0" borderId="9" xfId="0" applyNumberFormat="1" applyFont="1" applyFill="1" applyBorder="1" applyAlignment="1">
      <alignment horizontal="left" vertical="center" wrapText="1"/>
    </xf>
    <xf numFmtId="185" fontId="16" fillId="0" borderId="3" xfId="0" applyNumberFormat="1" applyFont="1" applyFill="1" applyBorder="1" applyAlignment="1">
      <alignment horizontal="left" vertical="center" wrapText="1"/>
    </xf>
    <xf numFmtId="184" fontId="26" fillId="0" borderId="8" xfId="0" applyNumberFormat="1" applyFont="1" applyBorder="1" applyAlignment="1">
      <alignment horizontal="center" vertical="center"/>
    </xf>
    <xf numFmtId="184" fontId="26" fillId="0" borderId="13" xfId="0" applyNumberFormat="1" applyFont="1" applyBorder="1" applyAlignment="1">
      <alignment horizontal="center" vertical="center"/>
    </xf>
    <xf numFmtId="184" fontId="26" fillId="0" borderId="9" xfId="0" applyNumberFormat="1" applyFont="1" applyBorder="1" applyAlignment="1">
      <alignment horizontal="center" vertical="center"/>
    </xf>
    <xf numFmtId="185" fontId="27" fillId="0" borderId="3" xfId="0" applyNumberFormat="1" applyFont="1" applyFill="1" applyBorder="1" applyAlignment="1">
      <alignment horizontal="left" vertical="center" wrapText="1"/>
    </xf>
    <xf numFmtId="184" fontId="8" fillId="0" borderId="8" xfId="0" applyNumberFormat="1" applyFont="1" applyBorder="1" applyAlignment="1">
      <alignment horizontal="center" vertical="center" shrinkToFit="1"/>
    </xf>
    <xf numFmtId="184" fontId="8" fillId="0" borderId="13" xfId="0" applyNumberFormat="1" applyFont="1" applyBorder="1" applyAlignment="1">
      <alignment horizontal="center" vertical="center" shrinkToFit="1"/>
    </xf>
    <xf numFmtId="184" fontId="8" fillId="0" borderId="9" xfId="0" applyNumberFormat="1" applyFont="1" applyBorder="1" applyAlignment="1">
      <alignment horizontal="center" vertical="center" shrinkToFit="1"/>
    </xf>
    <xf numFmtId="183" fontId="10" fillId="0" borderId="4" xfId="0" applyNumberFormat="1" applyFont="1" applyFill="1" applyBorder="1" applyAlignment="1">
      <alignment horizontal="center" vertical="center"/>
    </xf>
    <xf numFmtId="185" fontId="10" fillId="0" borderId="4" xfId="0" applyNumberFormat="1" applyFont="1" applyFill="1" applyBorder="1" applyAlignment="1">
      <alignment horizontal="center" vertical="center"/>
    </xf>
    <xf numFmtId="184" fontId="16" fillId="0" borderId="1" xfId="0" applyNumberFormat="1" applyFont="1" applyFill="1" applyBorder="1" applyAlignment="1">
      <alignment wrapText="1"/>
    </xf>
    <xf numFmtId="184" fontId="16" fillId="0" borderId="4" xfId="0" applyNumberFormat="1" applyFont="1" applyFill="1" applyBorder="1" applyAlignment="1">
      <alignment wrapText="1"/>
    </xf>
    <xf numFmtId="184" fontId="26" fillId="0" borderId="8" xfId="0" applyNumberFormat="1" applyFont="1" applyFill="1" applyBorder="1" applyAlignment="1">
      <alignment horizontal="center" vertical="center" wrapText="1"/>
    </xf>
    <xf numFmtId="184" fontId="26" fillId="0" borderId="13" xfId="0" applyNumberFormat="1" applyFont="1" applyFill="1" applyBorder="1" applyAlignment="1">
      <alignment horizontal="center" vertical="center" wrapText="1"/>
    </xf>
    <xf numFmtId="184" fontId="26" fillId="0" borderId="9" xfId="0" applyNumberFormat="1" applyFont="1" applyFill="1" applyBorder="1" applyAlignment="1">
      <alignment horizontal="center" vertical="center" wrapText="1"/>
    </xf>
    <xf numFmtId="183" fontId="2" fillId="0" borderId="4" xfId="0" applyNumberFormat="1" applyFont="1" applyBorder="1">
      <alignment vertical="center"/>
    </xf>
    <xf numFmtId="185" fontId="16" fillId="0" borderId="4" xfId="0" applyNumberFormat="1" applyFont="1" applyBorder="1">
      <alignment vertical="center"/>
    </xf>
    <xf numFmtId="184" fontId="58" fillId="0" borderId="4" xfId="0" applyNumberFormat="1" applyFont="1" applyBorder="1">
      <alignment vertical="center"/>
    </xf>
    <xf numFmtId="184" fontId="2" fillId="0" borderId="4" xfId="0" applyNumberFormat="1" applyFont="1" applyFill="1" applyBorder="1">
      <alignment vertical="center"/>
    </xf>
    <xf numFmtId="183" fontId="15" fillId="0" borderId="0" xfId="0" applyNumberFormat="1" applyFont="1">
      <alignment vertical="center"/>
    </xf>
    <xf numFmtId="185" fontId="16" fillId="0" borderId="4" xfId="0" applyNumberFormat="1" applyFont="1" applyBorder="1" applyAlignment="1">
      <alignment vertical="center" wrapText="1"/>
    </xf>
    <xf numFmtId="184" fontId="17" fillId="0" borderId="4" xfId="0" applyNumberFormat="1" applyFont="1" applyBorder="1">
      <alignment vertical="center"/>
    </xf>
    <xf numFmtId="185" fontId="16" fillId="0" borderId="0" xfId="0" applyNumberFormat="1" applyFont="1">
      <alignment vertical="center"/>
    </xf>
    <xf numFmtId="184" fontId="10" fillId="2" borderId="1" xfId="49" applyNumberFormat="1" applyFont="1" applyFill="1" applyBorder="1" applyAlignment="1">
      <alignment horizontal="center" vertical="center" wrapText="1"/>
    </xf>
    <xf numFmtId="184" fontId="10" fillId="2" borderId="5" xfId="49" applyNumberFormat="1" applyFont="1" applyFill="1" applyBorder="1" applyAlignment="1">
      <alignment horizontal="center" vertical="center" wrapText="1"/>
    </xf>
    <xf numFmtId="184" fontId="59" fillId="0" borderId="4" xfId="0" applyNumberFormat="1" applyFont="1" applyFill="1" applyBorder="1" applyAlignment="1">
      <alignment vertical="center"/>
    </xf>
    <xf numFmtId="184" fontId="60" fillId="0" borderId="4" xfId="0" applyNumberFormat="1" applyFont="1" applyFill="1" applyBorder="1" applyAlignment="1">
      <alignment vertical="center"/>
    </xf>
    <xf numFmtId="184" fontId="60" fillId="0" borderId="4" xfId="0" applyNumberFormat="1" applyFont="1" applyFill="1" applyBorder="1" applyAlignment="1">
      <alignment horizontal="center" vertical="center"/>
    </xf>
    <xf numFmtId="184" fontId="26" fillId="0" borderId="4" xfId="0" applyNumberFormat="1" applyFont="1" applyFill="1" applyBorder="1" applyAlignment="1">
      <alignment horizontal="center" vertical="center" wrapText="1"/>
    </xf>
    <xf numFmtId="184" fontId="8" fillId="8" borderId="4" xfId="0" applyNumberFormat="1" applyFont="1" applyFill="1" applyBorder="1">
      <alignment vertical="center"/>
    </xf>
    <xf numFmtId="184" fontId="16" fillId="5" borderId="8" xfId="0" applyNumberFormat="1" applyFont="1" applyFill="1" applyBorder="1" applyAlignment="1">
      <alignment horizontal="center" vertical="center"/>
    </xf>
    <xf numFmtId="184" fontId="8" fillId="5" borderId="13" xfId="0" applyNumberFormat="1" applyFont="1" applyFill="1" applyBorder="1" applyAlignment="1">
      <alignment horizontal="center" vertical="center"/>
    </xf>
    <xf numFmtId="184" fontId="8" fillId="5" borderId="9" xfId="0" applyNumberFormat="1" applyFont="1" applyFill="1" applyBorder="1" applyAlignment="1">
      <alignment horizontal="center" vertical="center"/>
    </xf>
    <xf numFmtId="184" fontId="8" fillId="5" borderId="4" xfId="0" applyNumberFormat="1" applyFont="1" applyFill="1" applyBorder="1">
      <alignment vertical="center"/>
    </xf>
    <xf numFmtId="184" fontId="8" fillId="0" borderId="4" xfId="0" applyNumberFormat="1" applyFont="1" applyBorder="1" applyAlignment="1">
      <alignment vertical="center" wrapText="1"/>
    </xf>
    <xf numFmtId="184" fontId="8" fillId="0" borderId="4" xfId="0" applyNumberFormat="1" applyFont="1" applyBorder="1" applyAlignment="1">
      <alignment vertical="center"/>
    </xf>
    <xf numFmtId="184" fontId="8" fillId="0" borderId="1" xfId="0" applyNumberFormat="1" applyFont="1" applyFill="1" applyBorder="1" applyAlignment="1">
      <alignment wrapText="1"/>
    </xf>
    <xf numFmtId="184" fontId="8" fillId="0" borderId="4" xfId="0" applyNumberFormat="1" applyFont="1" applyFill="1" applyBorder="1" applyAlignment="1">
      <alignment wrapText="1"/>
    </xf>
    <xf numFmtId="184" fontId="8" fillId="0" borderId="4" xfId="0" applyNumberFormat="1" applyFont="1" applyFill="1" applyBorder="1">
      <alignment vertical="center"/>
    </xf>
    <xf numFmtId="184" fontId="61" fillId="0" borderId="0" xfId="0" applyNumberFormat="1" applyFont="1">
      <alignment vertical="center"/>
    </xf>
    <xf numFmtId="184" fontId="62" fillId="0" borderId="0" xfId="0" applyNumberFormat="1" applyFont="1">
      <alignment vertical="center"/>
    </xf>
    <xf numFmtId="184" fontId="63" fillId="0" borderId="0" xfId="0" applyNumberFormat="1" applyFont="1">
      <alignment vertical="center"/>
    </xf>
    <xf numFmtId="185" fontId="26" fillId="0" borderId="4" xfId="0" applyNumberFormat="1" applyFont="1" applyBorder="1" applyAlignment="1">
      <alignment vertical="center" wrapText="1"/>
    </xf>
    <xf numFmtId="185" fontId="8" fillId="0" borderId="4" xfId="0" applyNumberFormat="1" applyFont="1" applyBorder="1" applyAlignment="1">
      <alignment vertical="center" wrapText="1"/>
    </xf>
    <xf numFmtId="185" fontId="26" fillId="0" borderId="0" xfId="0" applyNumberFormat="1" applyFont="1">
      <alignment vertical="center"/>
    </xf>
    <xf numFmtId="185" fontId="8" fillId="0" borderId="4" xfId="0" applyNumberFormat="1" applyFont="1" applyBorder="1">
      <alignment vertical="center"/>
    </xf>
    <xf numFmtId="185" fontId="8" fillId="0" borderId="0" xfId="0" applyNumberFormat="1" applyFont="1">
      <alignment vertical="center"/>
    </xf>
    <xf numFmtId="185" fontId="57" fillId="0" borderId="0" xfId="0" applyNumberFormat="1" applyFont="1">
      <alignment vertical="center"/>
    </xf>
    <xf numFmtId="0" fontId="16" fillId="0" borderId="0" xfId="0" applyFont="1">
      <alignment vertical="center"/>
    </xf>
    <xf numFmtId="0" fontId="64" fillId="0" borderId="11" xfId="0" applyFont="1" applyBorder="1" applyAlignment="1">
      <alignment horizontal="center" vertical="center"/>
    </xf>
    <xf numFmtId="0" fontId="40" fillId="0" borderId="1" xfId="0" applyFont="1" applyFill="1" applyBorder="1" applyAlignment="1">
      <alignment horizontal="center" vertical="center" wrapText="1"/>
    </xf>
    <xf numFmtId="0" fontId="65" fillId="0" borderId="1" xfId="0" applyFont="1" applyFill="1" applyBorder="1" applyAlignment="1">
      <alignment horizontal="center" vertical="center" wrapText="1"/>
    </xf>
    <xf numFmtId="0" fontId="42" fillId="0" borderId="4" xfId="0" applyFont="1" applyFill="1" applyBorder="1" applyAlignment="1">
      <alignment horizontal="center" vertical="center" wrapText="1"/>
    </xf>
    <xf numFmtId="0" fontId="40" fillId="0" borderId="10" xfId="0" applyFont="1" applyFill="1" applyBorder="1" applyAlignment="1">
      <alignment horizontal="center" vertical="center" wrapText="1"/>
    </xf>
    <xf numFmtId="0" fontId="65" fillId="0" borderId="10" xfId="0" applyFont="1" applyFill="1" applyBorder="1" applyAlignment="1">
      <alignment horizontal="center" vertical="center" wrapText="1"/>
    </xf>
    <xf numFmtId="0" fontId="66" fillId="0" borderId="1" xfId="0" applyFont="1" applyFill="1" applyBorder="1" applyAlignment="1">
      <alignment horizontal="center" vertical="center" wrapText="1"/>
    </xf>
    <xf numFmtId="0" fontId="40" fillId="0" borderId="5" xfId="0" applyFont="1" applyFill="1" applyBorder="1" applyAlignment="1">
      <alignment horizontal="center" vertical="center" wrapText="1"/>
    </xf>
    <xf numFmtId="0" fontId="66" fillId="0" borderId="2" xfId="0" applyFont="1" applyFill="1" applyBorder="1" applyAlignment="1">
      <alignment horizontal="center" vertical="center" wrapText="1"/>
    </xf>
    <xf numFmtId="0" fontId="18" fillId="0" borderId="4" xfId="0" applyFont="1" applyBorder="1">
      <alignment vertical="center"/>
    </xf>
    <xf numFmtId="176" fontId="16" fillId="0" borderId="4" xfId="0" applyNumberFormat="1" applyFont="1" applyBorder="1">
      <alignment vertical="center"/>
    </xf>
    <xf numFmtId="176" fontId="67" fillId="0" borderId="4" xfId="0" applyNumberFormat="1" applyFont="1" applyBorder="1" applyAlignment="1">
      <alignment horizontal="center" vertical="center"/>
    </xf>
    <xf numFmtId="184" fontId="18" fillId="0" borderId="4" xfId="0" applyNumberFormat="1" applyFont="1" applyBorder="1">
      <alignment vertical="center"/>
    </xf>
    <xf numFmtId="176" fontId="0" fillId="0" borderId="0" xfId="0" applyNumberFormat="1">
      <alignment vertical="center"/>
    </xf>
    <xf numFmtId="0" fontId="18" fillId="0" borderId="4" xfId="0" applyFont="1" applyFill="1" applyBorder="1">
      <alignment vertical="center"/>
    </xf>
    <xf numFmtId="10" fontId="0" fillId="0" borderId="4" xfId="0" applyNumberFormat="1" applyBorder="1" applyAlignment="1">
      <alignment horizontal="center" vertical="center"/>
    </xf>
    <xf numFmtId="49" fontId="15" fillId="0" borderId="0" xfId="0" applyNumberFormat="1" applyFont="1" applyAlignment="1">
      <alignment vertical="center" wrapText="1"/>
    </xf>
    <xf numFmtId="0" fontId="42" fillId="0" borderId="8" xfId="0" applyFont="1" applyFill="1" applyBorder="1" applyAlignment="1">
      <alignment horizontal="center" vertical="center" wrapText="1"/>
    </xf>
    <xf numFmtId="0" fontId="42" fillId="0" borderId="13" xfId="0" applyFont="1" applyFill="1" applyBorder="1" applyAlignment="1">
      <alignment horizontal="center" vertical="center" wrapText="1"/>
    </xf>
    <xf numFmtId="0" fontId="42" fillId="0" borderId="9" xfId="0" applyFont="1" applyFill="1" applyBorder="1" applyAlignment="1">
      <alignment horizontal="center" vertical="center" wrapText="1"/>
    </xf>
    <xf numFmtId="0" fontId="40" fillId="0" borderId="4" xfId="0" applyFont="1" applyFill="1" applyBorder="1" applyAlignment="1">
      <alignment horizontal="center" vertical="center" wrapText="1"/>
    </xf>
    <xf numFmtId="0" fontId="68" fillId="0" borderId="1" xfId="0" applyFont="1" applyFill="1" applyBorder="1" applyAlignment="1">
      <alignment horizontal="center" vertical="center" wrapText="1"/>
    </xf>
    <xf numFmtId="0" fontId="65" fillId="0" borderId="5" xfId="0" applyFont="1" applyFill="1" applyBorder="1" applyAlignment="1">
      <alignment horizontal="center" vertical="center" wrapText="1"/>
    </xf>
    <xf numFmtId="0" fontId="68" fillId="0" borderId="2" xfId="0" applyFont="1" applyFill="1" applyBorder="1" applyAlignment="1">
      <alignment horizontal="center" vertical="center" wrapText="1"/>
    </xf>
    <xf numFmtId="182" fontId="6" fillId="0" borderId="8" xfId="0" applyNumberFormat="1" applyFont="1" applyFill="1" applyBorder="1" applyAlignment="1">
      <alignment horizontal="center" vertical="center"/>
    </xf>
    <xf numFmtId="182" fontId="6" fillId="0" borderId="4" xfId="0" applyNumberFormat="1" applyFont="1" applyFill="1" applyBorder="1" applyAlignment="1">
      <alignment horizontal="center" vertical="center"/>
    </xf>
    <xf numFmtId="182" fontId="11" fillId="0" borderId="4" xfId="0" applyNumberFormat="1" applyFont="1" applyBorder="1">
      <alignment vertical="center"/>
    </xf>
    <xf numFmtId="0" fontId="18" fillId="0" borderId="4" xfId="0" applyFont="1" applyBorder="1" applyAlignment="1">
      <alignment horizontal="right" vertical="center"/>
    </xf>
    <xf numFmtId="182" fontId="69" fillId="0" borderId="4" xfId="0" applyNumberFormat="1" applyFont="1" applyBorder="1" applyAlignment="1">
      <alignment horizontal="center" vertical="center"/>
    </xf>
    <xf numFmtId="182" fontId="0" fillId="0" borderId="0" xfId="0" applyNumberFormat="1">
      <alignment vertical="center"/>
    </xf>
    <xf numFmtId="0" fontId="40" fillId="0" borderId="8" xfId="0" applyFont="1" applyFill="1" applyBorder="1" applyAlignment="1">
      <alignment horizontal="center" vertical="center" wrapText="1"/>
    </xf>
    <xf numFmtId="0" fontId="40" fillId="0" borderId="13" xfId="0" applyFont="1" applyFill="1" applyBorder="1" applyAlignment="1">
      <alignment horizontal="center" vertical="center" wrapText="1"/>
    </xf>
    <xf numFmtId="0" fontId="40" fillId="0" borderId="9"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6" fillId="0" borderId="4" xfId="0" applyFont="1" applyFill="1" applyBorder="1" applyAlignment="1">
      <alignment horizontal="center" vertical="center"/>
    </xf>
    <xf numFmtId="184" fontId="7" fillId="0" borderId="4" xfId="0" applyNumberFormat="1" applyFont="1" applyFill="1" applyBorder="1">
      <alignment vertical="center"/>
    </xf>
    <xf numFmtId="0" fontId="7" fillId="0" borderId="4" xfId="0" applyNumberFormat="1" applyFont="1" applyFill="1" applyBorder="1" applyAlignment="1">
      <alignment horizontal="center" vertical="center"/>
    </xf>
    <xf numFmtId="0" fontId="6" fillId="0" borderId="0" xfId="0" applyFont="1" applyFill="1" applyBorder="1" applyAlignment="1">
      <alignment horizontal="left" vertical="center" wrapText="1"/>
    </xf>
    <xf numFmtId="0" fontId="6" fillId="0" borderId="0" xfId="0" applyFont="1" applyFill="1" applyBorder="1" applyAlignment="1">
      <alignment vertical="center" wrapText="1"/>
    </xf>
    <xf numFmtId="0" fontId="48" fillId="0" borderId="0" xfId="0" applyFont="1" applyFill="1" applyBorder="1">
      <alignment vertical="center"/>
    </xf>
    <xf numFmtId="0" fontId="48" fillId="0" borderId="0" xfId="0" applyFont="1" applyFill="1" applyAlignment="1">
      <alignment horizontal="left" vertical="center" wrapText="1"/>
    </xf>
    <xf numFmtId="0" fontId="7" fillId="0" borderId="3" xfId="0" applyFont="1" applyFill="1" applyBorder="1" applyAlignment="1">
      <alignment horizontal="center" vertical="center" wrapText="1"/>
    </xf>
    <xf numFmtId="0" fontId="7" fillId="0" borderId="18"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7" fillId="0" borderId="1" xfId="0" applyFont="1" applyFill="1" applyBorder="1" applyAlignment="1" quotePrefix="1">
      <alignment horizontal="center" vertical="center"/>
    </xf>
    <xf numFmtId="0" fontId="6" fillId="0" borderId="1" xfId="0" applyFont="1" applyFill="1" applyBorder="1" applyAlignment="1" quotePrefix="1">
      <alignment horizontal="center" vertical="center"/>
    </xf>
    <xf numFmtId="0" fontId="7" fillId="0" borderId="4" xfId="0" applyFont="1" applyFill="1" applyBorder="1" applyAlignment="1" quotePrefix="1">
      <alignment horizontal="center" vertical="center"/>
    </xf>
    <xf numFmtId="0" fontId="6" fillId="0" borderId="4" xfId="0" applyFont="1" applyFill="1" applyBorder="1" applyAlignment="1" quotePrefix="1">
      <alignment horizontal="center" vertical="center"/>
    </xf>
    <xf numFmtId="179" fontId="26" fillId="0" borderId="0" xfId="0" applyNumberFormat="1" applyFont="1" applyBorder="1" applyAlignment="1" quotePrefix="1">
      <alignment horizontal="center" vertical="center" wrapText="1"/>
    </xf>
    <xf numFmtId="179" fontId="26" fillId="0" borderId="4" xfId="0" applyNumberFormat="1" applyFont="1" applyBorder="1" applyAlignment="1" quotePrefix="1">
      <alignment horizontal="center" vertical="center" wrapText="1"/>
    </xf>
    <xf numFmtId="179" fontId="26" fillId="0" borderId="0" xfId="0" applyNumberFormat="1" applyFont="1" applyFill="1" applyBorder="1" applyAlignment="1" quotePrefix="1">
      <alignment horizontal="center" vertical="center" wrapText="1"/>
    </xf>
    <xf numFmtId="0" fontId="8" fillId="0" borderId="1" xfId="0" applyNumberFormat="1" applyFont="1" applyFill="1" applyBorder="1" applyAlignment="1" quotePrefix="1">
      <alignment horizontal="center" vertical="center" wrapText="1"/>
    </xf>
    <xf numFmtId="0" fontId="8" fillId="0" borderId="4" xfId="0" applyNumberFormat="1" applyFont="1" applyFill="1" applyBorder="1" applyAlignment="1" quotePrefix="1">
      <alignment horizontal="center"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 name="常规 4" xfId="51"/>
  </cellStyles>
  <tableStyles count="0" defaultTableStyle="TableStyleMedium2" defaultPivotStyle="PivotStyleLight16"/>
  <colors>
    <mruColors>
      <color rgb="00B7E7C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1" Type="http://schemas.openxmlformats.org/officeDocument/2006/relationships/sharedStrings" Target="sharedStrings.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theme" Target="theme/theme1.xml"/><Relationship Id="rId18" Type="http://schemas.openxmlformats.org/officeDocument/2006/relationships/externalLink" Target="externalLinks/externalLink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RecoveredExternalLink1"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汇总"/>
      <sheetName val="建安费"/>
      <sheetName val="征地拆迁"/>
    </sheetNames>
    <sheetDataSet>
      <sheetData sheetId="0" refreshError="1"/>
      <sheetData sheetId="1" refreshError="1"/>
      <sheetData sheetId="2" refreshError="1">
        <row r="4">
          <cell r="B4" t="str">
            <v>征地拆迁补偿</v>
          </cell>
        </row>
        <row r="43">
          <cell r="B43" t="str">
            <v>管线搬迁及补偿</v>
          </cell>
        </row>
      </sheetData>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61"/>
  <sheetViews>
    <sheetView workbookViewId="0">
      <selection activeCell="K25" sqref="K25"/>
    </sheetView>
  </sheetViews>
  <sheetFormatPr defaultColWidth="9" defaultRowHeight="14.25"/>
  <cols>
    <col min="1" max="1" width="6.375" style="431" customWidth="1"/>
    <col min="2" max="2" width="9" style="632" customWidth="1"/>
    <col min="3" max="3" width="4.75" style="431" customWidth="1"/>
    <col min="4" max="4" width="13.625" style="431" customWidth="1"/>
    <col min="5" max="9" width="11.75" style="431" customWidth="1"/>
    <col min="10" max="10" width="15" style="431" customWidth="1"/>
    <col min="11" max="11" width="11.25" style="431" customWidth="1"/>
    <col min="12" max="12" width="9" style="431"/>
    <col min="13" max="13" width="9.5" style="431" customWidth="1"/>
    <col min="14" max="16384" width="9" style="431"/>
  </cols>
  <sheetData>
    <row r="1" ht="28.5" customHeight="1" spans="1:9">
      <c r="A1" s="433" t="s">
        <v>0</v>
      </c>
      <c r="B1" s="433"/>
      <c r="C1" s="433"/>
      <c r="D1" s="433"/>
      <c r="E1" s="433"/>
      <c r="F1" s="433"/>
      <c r="G1" s="433"/>
      <c r="H1" s="433"/>
      <c r="I1" s="433"/>
    </row>
    <row r="2" s="428" customFormat="1" ht="19.9" customHeight="1" spans="1:9">
      <c r="A2" s="434" t="s">
        <v>1</v>
      </c>
      <c r="B2" s="444" t="s">
        <v>2</v>
      </c>
      <c r="C2" s="435" t="s">
        <v>3</v>
      </c>
      <c r="D2" s="434" t="s">
        <v>4</v>
      </c>
      <c r="E2" s="436" t="s">
        <v>5</v>
      </c>
      <c r="F2" s="437"/>
      <c r="G2" s="437"/>
      <c r="H2" s="437"/>
      <c r="I2" s="467"/>
    </row>
    <row r="3" s="428" customFormat="1" ht="19.9" customHeight="1" spans="1:9">
      <c r="A3" s="434"/>
      <c r="B3" s="448"/>
      <c r="C3" s="438"/>
      <c r="D3" s="434"/>
      <c r="E3" s="435" t="s">
        <v>6</v>
      </c>
      <c r="F3" s="435" t="s">
        <v>7</v>
      </c>
      <c r="G3" s="435" t="s">
        <v>8</v>
      </c>
      <c r="H3" s="435" t="s">
        <v>9</v>
      </c>
      <c r="I3" s="435" t="s">
        <v>10</v>
      </c>
    </row>
    <row r="4" s="429" customFormat="1" ht="24" customHeight="1" spans="1:9">
      <c r="A4" s="636" t="s">
        <v>11</v>
      </c>
      <c r="B4" s="444" t="s">
        <v>12</v>
      </c>
      <c r="C4" s="329" t="s">
        <v>4</v>
      </c>
      <c r="D4" s="439">
        <f>SUM(E4:I4)</f>
        <v>1330420.73248115</v>
      </c>
      <c r="E4" s="440">
        <f>E8+E32</f>
        <v>331889.934542387</v>
      </c>
      <c r="F4" s="440">
        <f>F8+F32</f>
        <v>300614.579856759</v>
      </c>
      <c r="G4" s="440">
        <f>G8+G32</f>
        <v>311681.566848332</v>
      </c>
      <c r="H4" s="440">
        <f>H8+H32</f>
        <v>190642.520871505</v>
      </c>
      <c r="I4" s="440">
        <f>I8+I32</f>
        <v>195592.130362168</v>
      </c>
    </row>
    <row r="5" s="429" customFormat="1" ht="24" customHeight="1" spans="1:9">
      <c r="A5" s="441"/>
      <c r="B5" s="446"/>
      <c r="C5" s="329" t="s">
        <v>13</v>
      </c>
      <c r="D5" s="442">
        <f t="shared" ref="D5:D8" si="0">SUM(E5:I5)</f>
        <v>347765.455273828</v>
      </c>
      <c r="E5" s="443">
        <f t="shared" ref="E5:I7" si="1">E9+E33</f>
        <v>79378.2776318811</v>
      </c>
      <c r="F5" s="443">
        <f t="shared" si="1"/>
        <v>74732.0504248434</v>
      </c>
      <c r="G5" s="443">
        <f t="shared" si="1"/>
        <v>77487.9010614056</v>
      </c>
      <c r="H5" s="443">
        <f t="shared" si="1"/>
        <v>57149.6312287678</v>
      </c>
      <c r="I5" s="443">
        <f t="shared" si="1"/>
        <v>59017.5949269301</v>
      </c>
    </row>
    <row r="6" s="429" customFormat="1" ht="24" customHeight="1" spans="1:9">
      <c r="A6" s="441"/>
      <c r="B6" s="446"/>
      <c r="C6" s="329" t="s">
        <v>14</v>
      </c>
      <c r="D6" s="442">
        <f t="shared" si="0"/>
        <v>264243.418791064</v>
      </c>
      <c r="E6" s="443">
        <f t="shared" si="1"/>
        <v>69845.511460255</v>
      </c>
      <c r="F6" s="443">
        <f t="shared" si="1"/>
        <v>61821.4965991649</v>
      </c>
      <c r="G6" s="443">
        <f t="shared" si="1"/>
        <v>64095.0729416748</v>
      </c>
      <c r="H6" s="443">
        <f t="shared" si="1"/>
        <v>34240.6688949847</v>
      </c>
      <c r="I6" s="443">
        <f t="shared" si="1"/>
        <v>34240.6688949847</v>
      </c>
    </row>
    <row r="7" s="429" customFormat="1" ht="24" customHeight="1" spans="1:9">
      <c r="A7" s="438"/>
      <c r="B7" s="448"/>
      <c r="C7" s="329" t="s">
        <v>15</v>
      </c>
      <c r="D7" s="442">
        <f t="shared" si="0"/>
        <v>718411.85841626</v>
      </c>
      <c r="E7" s="443">
        <f t="shared" si="1"/>
        <v>182666.14545025</v>
      </c>
      <c r="F7" s="443">
        <f t="shared" si="1"/>
        <v>164061.032832751</v>
      </c>
      <c r="G7" s="443">
        <f t="shared" si="1"/>
        <v>170098.592845252</v>
      </c>
      <c r="H7" s="443">
        <f t="shared" si="1"/>
        <v>99252.2207477528</v>
      </c>
      <c r="I7" s="443">
        <f t="shared" si="1"/>
        <v>102333.866540254</v>
      </c>
    </row>
    <row r="8" ht="24" customHeight="1" spans="1:9">
      <c r="A8" s="636" t="s">
        <v>16</v>
      </c>
      <c r="B8" s="444" t="s">
        <v>17</v>
      </c>
      <c r="C8" s="329" t="s">
        <v>4</v>
      </c>
      <c r="D8" s="439">
        <f t="shared" si="0"/>
        <v>1195661.268619</v>
      </c>
      <c r="E8" s="445">
        <f>E16+E20+E24+E28</f>
        <v>325509.9397238</v>
      </c>
      <c r="F8" s="445">
        <f t="shared" ref="E8:I11" si="2">F16+F20+F24+F28</f>
        <v>282321.0967238</v>
      </c>
      <c r="G8" s="445">
        <f t="shared" si="2"/>
        <v>282321.0967238</v>
      </c>
      <c r="H8" s="445">
        <f t="shared" si="2"/>
        <v>152754.5677238</v>
      </c>
      <c r="I8" s="445">
        <f t="shared" si="2"/>
        <v>152754.5677238</v>
      </c>
    </row>
    <row r="9" ht="24" customHeight="1" spans="1:11">
      <c r="A9" s="441"/>
      <c r="B9" s="446"/>
      <c r="C9" s="329" t="s">
        <v>13</v>
      </c>
      <c r="D9" s="442">
        <f t="shared" ref="D9:D11" si="3">SUM(E9:I9)</f>
        <v>313761.265786</v>
      </c>
      <c r="E9" s="447">
        <f>E17+E21+E25+E29</f>
        <v>77852.3711572</v>
      </c>
      <c r="F9" s="447">
        <f t="shared" si="2"/>
        <v>70302.3121572</v>
      </c>
      <c r="G9" s="447">
        <f t="shared" si="2"/>
        <v>70302.3121572</v>
      </c>
      <c r="H9" s="447">
        <f t="shared" si="2"/>
        <v>47652.1351572</v>
      </c>
      <c r="I9" s="447">
        <f t="shared" si="2"/>
        <v>47652.1351572</v>
      </c>
      <c r="K9"/>
    </row>
    <row r="10" ht="24" customHeight="1" spans="1:11">
      <c r="A10" s="441"/>
      <c r="B10" s="446"/>
      <c r="C10" s="329" t="s">
        <v>14</v>
      </c>
      <c r="D10" s="442">
        <f t="shared" si="3"/>
        <v>237479.687463</v>
      </c>
      <c r="E10" s="447">
        <f t="shared" si="2"/>
        <v>68502.8554926</v>
      </c>
      <c r="F10" s="447">
        <f t="shared" si="2"/>
        <v>57999.3964926</v>
      </c>
      <c r="G10" s="447">
        <f t="shared" si="2"/>
        <v>57999.3964926</v>
      </c>
      <c r="H10" s="447">
        <f t="shared" si="2"/>
        <v>26489.0194926</v>
      </c>
      <c r="I10" s="447">
        <f t="shared" si="2"/>
        <v>26489.0194926</v>
      </c>
      <c r="K10"/>
    </row>
    <row r="11" ht="24" customHeight="1" spans="1:11">
      <c r="A11" s="438"/>
      <c r="B11" s="448"/>
      <c r="C11" s="329" t="s">
        <v>15</v>
      </c>
      <c r="D11" s="442">
        <f t="shared" si="3"/>
        <v>644420.31537</v>
      </c>
      <c r="E11" s="447">
        <f t="shared" si="2"/>
        <v>179154.713074</v>
      </c>
      <c r="F11" s="447">
        <f t="shared" si="2"/>
        <v>154019.388074</v>
      </c>
      <c r="G11" s="447">
        <f t="shared" si="2"/>
        <v>154019.388074</v>
      </c>
      <c r="H11" s="447">
        <f t="shared" si="2"/>
        <v>78613.413074</v>
      </c>
      <c r="I11" s="447">
        <f t="shared" si="2"/>
        <v>78613.413074</v>
      </c>
      <c r="K11"/>
    </row>
    <row r="12" ht="24" customHeight="1" spans="1:9">
      <c r="A12" s="637" t="s">
        <v>18</v>
      </c>
      <c r="B12" s="444" t="s">
        <v>19</v>
      </c>
      <c r="C12" s="329" t="s">
        <v>4</v>
      </c>
      <c r="D12" s="440">
        <f>SUM(D13:D15)</f>
        <v>720442.73</v>
      </c>
      <c r="E12" s="440">
        <f>SUM(E13:E15)</f>
        <v>144088.546</v>
      </c>
      <c r="F12" s="440">
        <f t="shared" ref="F12:I12" si="4">SUM(F13:F15)</f>
        <v>144088.546</v>
      </c>
      <c r="G12" s="440">
        <f t="shared" si="4"/>
        <v>144088.546</v>
      </c>
      <c r="H12" s="440">
        <f t="shared" si="4"/>
        <v>144088.546</v>
      </c>
      <c r="I12" s="440">
        <f t="shared" si="4"/>
        <v>144088.546</v>
      </c>
    </row>
    <row r="13" ht="24" customHeight="1" spans="1:9">
      <c r="A13" s="450"/>
      <c r="B13" s="446"/>
      <c r="C13" s="329" t="s">
        <v>13</v>
      </c>
      <c r="D13" s="443">
        <v>227454.12</v>
      </c>
      <c r="E13" s="447">
        <f>D13*0.2</f>
        <v>45490.824</v>
      </c>
      <c r="F13" s="447">
        <f>D13*0.2</f>
        <v>45490.824</v>
      </c>
      <c r="G13" s="447">
        <f>D13*0.2</f>
        <v>45490.824</v>
      </c>
      <c r="H13" s="447">
        <f>D13*0.2</f>
        <v>45490.824</v>
      </c>
      <c r="I13" s="447">
        <f>D13*0.2</f>
        <v>45490.824</v>
      </c>
    </row>
    <row r="14" ht="24" customHeight="1" spans="1:9">
      <c r="A14" s="450"/>
      <c r="B14" s="446"/>
      <c r="C14" s="329" t="s">
        <v>14</v>
      </c>
      <c r="D14" s="443">
        <f>'项目建设投资估算表 '!O5</f>
        <v>123564.21</v>
      </c>
      <c r="E14" s="447">
        <f>D14*0.2</f>
        <v>24712.842</v>
      </c>
      <c r="F14" s="447">
        <f>D14*0.2</f>
        <v>24712.842</v>
      </c>
      <c r="G14" s="447">
        <f>D14*0.2</f>
        <v>24712.842</v>
      </c>
      <c r="H14" s="447">
        <f>D14*0.2</f>
        <v>24712.842</v>
      </c>
      <c r="I14" s="447">
        <f>D14*0.2</f>
        <v>24712.842</v>
      </c>
    </row>
    <row r="15" ht="24" customHeight="1" spans="1:9">
      <c r="A15" s="450"/>
      <c r="B15" s="448"/>
      <c r="C15" s="329" t="s">
        <v>15</v>
      </c>
      <c r="D15" s="443">
        <f>'项目建设投资估算表 '!U5</f>
        <v>369424.4</v>
      </c>
      <c r="E15" s="447">
        <f>D15*0.2</f>
        <v>73884.88</v>
      </c>
      <c r="F15" s="447">
        <f>D15*0.2</f>
        <v>73884.88</v>
      </c>
      <c r="G15" s="447">
        <f>D15*0.2</f>
        <v>73884.88</v>
      </c>
      <c r="H15" s="447">
        <f>D15*0.2</f>
        <v>73884.88</v>
      </c>
      <c r="I15" s="447">
        <f>D15*0.2</f>
        <v>73884.88</v>
      </c>
    </row>
    <row r="16" ht="24" customHeight="1" spans="1:9">
      <c r="A16" s="450"/>
      <c r="B16" s="444" t="s">
        <v>20</v>
      </c>
      <c r="C16" s="451" t="s">
        <v>4</v>
      </c>
      <c r="D16" s="452">
        <f>SUM(D17:D19)</f>
        <v>644291.933439</v>
      </c>
      <c r="E16" s="452">
        <f t="shared" ref="E16:I16" si="5">SUM(E17:E19)</f>
        <v>128858.3866878</v>
      </c>
      <c r="F16" s="452">
        <f t="shared" si="5"/>
        <v>128858.3866878</v>
      </c>
      <c r="G16" s="452">
        <f t="shared" si="5"/>
        <v>128858.3866878</v>
      </c>
      <c r="H16" s="452">
        <f t="shared" si="5"/>
        <v>128858.3866878</v>
      </c>
      <c r="I16" s="452">
        <f t="shared" si="5"/>
        <v>128858.3866878</v>
      </c>
    </row>
    <row r="17" ht="24" customHeight="1" spans="1:15">
      <c r="A17" s="450"/>
      <c r="B17" s="446"/>
      <c r="C17" s="329" t="s">
        <v>13</v>
      </c>
      <c r="D17" s="443">
        <f>SUM(E17:I17)</f>
        <v>203412.219516</v>
      </c>
      <c r="E17" s="443">
        <f t="shared" ref="E17:I19" si="6">E13*(1-10.57%)</f>
        <v>40682.4439032</v>
      </c>
      <c r="F17" s="443">
        <f t="shared" si="6"/>
        <v>40682.4439032</v>
      </c>
      <c r="G17" s="443">
        <f t="shared" si="6"/>
        <v>40682.4439032</v>
      </c>
      <c r="H17" s="443">
        <f t="shared" si="6"/>
        <v>40682.4439032</v>
      </c>
      <c r="I17" s="443">
        <f t="shared" si="6"/>
        <v>40682.4439032</v>
      </c>
      <c r="J17"/>
      <c r="K17"/>
      <c r="L17"/>
      <c r="M17"/>
      <c r="N17"/>
      <c r="O17" s="468"/>
    </row>
    <row r="18" ht="24" customHeight="1" spans="1:15">
      <c r="A18" s="450"/>
      <c r="B18" s="446"/>
      <c r="C18" s="329" t="s">
        <v>14</v>
      </c>
      <c r="D18" s="443">
        <f t="shared" ref="D18:D19" si="7">SUM(E18:I18)</f>
        <v>110503.473003</v>
      </c>
      <c r="E18" s="443">
        <f t="shared" si="6"/>
        <v>22100.6946006</v>
      </c>
      <c r="F18" s="443">
        <f t="shared" si="6"/>
        <v>22100.6946006</v>
      </c>
      <c r="G18" s="443">
        <f t="shared" si="6"/>
        <v>22100.6946006</v>
      </c>
      <c r="H18" s="443">
        <f t="shared" si="6"/>
        <v>22100.6946006</v>
      </c>
      <c r="I18" s="443">
        <f t="shared" si="6"/>
        <v>22100.6946006</v>
      </c>
      <c r="J18"/>
      <c r="K18"/>
      <c r="L18"/>
      <c r="M18"/>
      <c r="N18"/>
      <c r="O18" s="468"/>
    </row>
    <row r="19" ht="24" customHeight="1" spans="1:15">
      <c r="A19" s="453"/>
      <c r="B19" s="448"/>
      <c r="C19" s="329" t="s">
        <v>15</v>
      </c>
      <c r="D19" s="443">
        <f t="shared" si="7"/>
        <v>330376.24092</v>
      </c>
      <c r="E19" s="443">
        <f t="shared" si="6"/>
        <v>66075.248184</v>
      </c>
      <c r="F19" s="443">
        <f t="shared" si="6"/>
        <v>66075.248184</v>
      </c>
      <c r="G19" s="443">
        <f t="shared" si="6"/>
        <v>66075.248184</v>
      </c>
      <c r="H19" s="443">
        <f t="shared" si="6"/>
        <v>66075.248184</v>
      </c>
      <c r="I19" s="443">
        <f t="shared" si="6"/>
        <v>66075.248184</v>
      </c>
      <c r="J19" s="177"/>
      <c r="K19"/>
      <c r="L19"/>
      <c r="M19"/>
      <c r="N19"/>
      <c r="O19" s="468"/>
    </row>
    <row r="20" ht="24" customHeight="1" spans="1:9">
      <c r="A20" s="637" t="s">
        <v>21</v>
      </c>
      <c r="B20" s="444" t="s">
        <v>22</v>
      </c>
      <c r="C20" s="454" t="s">
        <v>4</v>
      </c>
      <c r="D20" s="440">
        <f>SUM(D21:D23)</f>
        <v>79484.5416</v>
      </c>
      <c r="E20" s="440">
        <f>SUM(E21:E23)</f>
        <v>15896.90832</v>
      </c>
      <c r="F20" s="440">
        <f t="shared" ref="F20:I20" si="8">SUM(F21:F23)</f>
        <v>15896.90832</v>
      </c>
      <c r="G20" s="440">
        <f t="shared" si="8"/>
        <v>15896.90832</v>
      </c>
      <c r="H20" s="440">
        <f t="shared" si="8"/>
        <v>15896.90832</v>
      </c>
      <c r="I20" s="440">
        <f t="shared" si="8"/>
        <v>15896.90832</v>
      </c>
    </row>
    <row r="21" ht="24" customHeight="1" spans="1:9">
      <c r="A21" s="450"/>
      <c r="B21" s="446"/>
      <c r="C21" s="329" t="s">
        <v>13</v>
      </c>
      <c r="D21" s="443">
        <f>'项目建设投资估算表 '!I16-'项目建设投资估算表 '!I17</f>
        <v>22357.8574</v>
      </c>
      <c r="E21" s="447">
        <f>D21*0.2</f>
        <v>4471.57148</v>
      </c>
      <c r="F21" s="447">
        <f>D21*0.2</f>
        <v>4471.57148</v>
      </c>
      <c r="G21" s="447">
        <f>D21*0.2</f>
        <v>4471.57148</v>
      </c>
      <c r="H21" s="447">
        <f>D21*0.2</f>
        <v>4471.57148</v>
      </c>
      <c r="I21" s="447">
        <f>D21*0.2</f>
        <v>4471.57148</v>
      </c>
    </row>
    <row r="22" ht="24" customHeight="1" spans="1:9">
      <c r="A22" s="450"/>
      <c r="B22" s="446"/>
      <c r="C22" s="329" t="s">
        <v>14</v>
      </c>
      <c r="D22" s="443">
        <f>'项目建设投资估算表 '!O16-'项目建设投资估算表 '!O17</f>
        <v>15012.7752</v>
      </c>
      <c r="E22" s="447">
        <f t="shared" ref="E22:E23" si="9">D22*0.2</f>
        <v>3002.55504</v>
      </c>
      <c r="F22" s="447">
        <f t="shared" ref="F22:F23" si="10">D22*0.2</f>
        <v>3002.55504</v>
      </c>
      <c r="G22" s="447">
        <f t="shared" ref="G22:G23" si="11">D22*0.2</f>
        <v>3002.55504</v>
      </c>
      <c r="H22" s="447">
        <f t="shared" ref="H22:H23" si="12">D22*0.2</f>
        <v>3002.55504</v>
      </c>
      <c r="I22" s="447">
        <f t="shared" ref="I22:I23" si="13">D22*0.2</f>
        <v>3002.55504</v>
      </c>
    </row>
    <row r="23" ht="24" customHeight="1" spans="1:9">
      <c r="A23" s="453"/>
      <c r="B23" s="448"/>
      <c r="C23" s="329" t="s">
        <v>15</v>
      </c>
      <c r="D23" s="443">
        <f>'项目建设投资估算表 '!U16-'项目建设投资估算表 '!U17</f>
        <v>42113.909</v>
      </c>
      <c r="E23" s="447">
        <f t="shared" si="9"/>
        <v>8422.78180000001</v>
      </c>
      <c r="F23" s="447">
        <f t="shared" si="10"/>
        <v>8422.78180000001</v>
      </c>
      <c r="G23" s="447">
        <f t="shared" si="11"/>
        <v>8422.78180000001</v>
      </c>
      <c r="H23" s="447">
        <f t="shared" si="12"/>
        <v>8422.78180000001</v>
      </c>
      <c r="I23" s="447">
        <f t="shared" si="13"/>
        <v>8422.78180000001</v>
      </c>
    </row>
    <row r="24" ht="24" customHeight="1" spans="1:9">
      <c r="A24" s="449" t="s">
        <v>23</v>
      </c>
      <c r="B24" s="444" t="s">
        <v>24</v>
      </c>
      <c r="C24" s="454" t="s">
        <v>4</v>
      </c>
      <c r="D24" s="440">
        <f>SUM(D25:D27)</f>
        <v>431888.43</v>
      </c>
      <c r="E24" s="440">
        <f t="shared" ref="E24:G24" si="14">SUM(E25:E27)</f>
        <v>172755.372</v>
      </c>
      <c r="F24" s="440">
        <f t="shared" si="14"/>
        <v>129566.529</v>
      </c>
      <c r="G24" s="440">
        <f t="shared" si="14"/>
        <v>129566.529</v>
      </c>
      <c r="H24" s="440"/>
      <c r="I24" s="440"/>
    </row>
    <row r="25" ht="24" customHeight="1" spans="1:9">
      <c r="A25" s="450"/>
      <c r="B25" s="446"/>
      <c r="C25" s="329" t="s">
        <v>13</v>
      </c>
      <c r="D25" s="443">
        <v>75500.59</v>
      </c>
      <c r="E25" s="443">
        <f>D25*0.4</f>
        <v>30200.236</v>
      </c>
      <c r="F25" s="443">
        <f>D25*0.3</f>
        <v>22650.177</v>
      </c>
      <c r="G25" s="443">
        <f>D25*0.3</f>
        <v>22650.177</v>
      </c>
      <c r="H25" s="443"/>
      <c r="I25" s="443"/>
    </row>
    <row r="26" ht="24" customHeight="1" spans="1:9">
      <c r="A26" s="450"/>
      <c r="B26" s="446"/>
      <c r="C26" s="329" t="s">
        <v>14</v>
      </c>
      <c r="D26" s="443">
        <f>'项目建设投资估算表 '!O17</f>
        <v>105034.59</v>
      </c>
      <c r="E26" s="443">
        <f>D26*0.4</f>
        <v>42013.836</v>
      </c>
      <c r="F26" s="443">
        <f>D26*0.3</f>
        <v>31510.377</v>
      </c>
      <c r="G26" s="443">
        <f>D26*0.3</f>
        <v>31510.377</v>
      </c>
      <c r="H26" s="443"/>
      <c r="I26" s="443"/>
    </row>
    <row r="27" ht="24" customHeight="1" spans="1:9">
      <c r="A27" s="453"/>
      <c r="B27" s="448"/>
      <c r="C27" s="329" t="s">
        <v>15</v>
      </c>
      <c r="D27" s="443">
        <f>'项目建设投资估算表 '!U17</f>
        <v>251353.25</v>
      </c>
      <c r="E27" s="443">
        <f>D27*0.4</f>
        <v>100541.3</v>
      </c>
      <c r="F27" s="443">
        <f>D27*0.3</f>
        <v>75405.975</v>
      </c>
      <c r="G27" s="443">
        <f>D27*0.3</f>
        <v>75405.975</v>
      </c>
      <c r="H27" s="443"/>
      <c r="I27" s="443"/>
    </row>
    <row r="28" ht="24" customHeight="1" spans="1:9">
      <c r="A28" s="637" t="s">
        <v>25</v>
      </c>
      <c r="B28" s="444" t="s">
        <v>26</v>
      </c>
      <c r="C28" s="329" t="s">
        <v>4</v>
      </c>
      <c r="D28" s="440">
        <f>SUM(D29:D31)</f>
        <v>39996.36358</v>
      </c>
      <c r="E28" s="440">
        <f t="shared" ref="E28:I28" si="15">SUM(E29:E31)</f>
        <v>7999.272716</v>
      </c>
      <c r="F28" s="440">
        <f t="shared" si="15"/>
        <v>7999.272716</v>
      </c>
      <c r="G28" s="440">
        <f t="shared" si="15"/>
        <v>7999.272716</v>
      </c>
      <c r="H28" s="440">
        <f t="shared" si="15"/>
        <v>7999.272716</v>
      </c>
      <c r="I28" s="440">
        <f t="shared" si="15"/>
        <v>7999.272716</v>
      </c>
    </row>
    <row r="29" ht="24" customHeight="1" spans="1:9">
      <c r="A29" s="450"/>
      <c r="B29" s="446"/>
      <c r="C29" s="329" t="s">
        <v>13</v>
      </c>
      <c r="D29" s="443">
        <f>'项目建设投资估算表 '!I53</f>
        <v>12490.59887</v>
      </c>
      <c r="E29" s="447">
        <f>D29*0.2</f>
        <v>2498.119774</v>
      </c>
      <c r="F29" s="447">
        <f>D29*0.2</f>
        <v>2498.119774</v>
      </c>
      <c r="G29" s="447">
        <f>D29*0.2</f>
        <v>2498.119774</v>
      </c>
      <c r="H29" s="447">
        <f>D29*0.2</f>
        <v>2498.119774</v>
      </c>
      <c r="I29" s="447">
        <f>D29*0.2</f>
        <v>2498.119774</v>
      </c>
    </row>
    <row r="30" ht="24" customHeight="1" spans="1:9">
      <c r="A30" s="450"/>
      <c r="B30" s="446"/>
      <c r="C30" s="329" t="s">
        <v>14</v>
      </c>
      <c r="D30" s="443">
        <f>'项目建设投资估算表 '!O53</f>
        <v>6928.84926</v>
      </c>
      <c r="E30" s="447">
        <f t="shared" ref="E30:E31" si="16">D30*0.2</f>
        <v>1385.769852</v>
      </c>
      <c r="F30" s="447">
        <f t="shared" ref="F30:F31" si="17">D30*0.2</f>
        <v>1385.769852</v>
      </c>
      <c r="G30" s="447">
        <f t="shared" ref="G30:G31" si="18">D30*0.2</f>
        <v>1385.769852</v>
      </c>
      <c r="H30" s="447">
        <f t="shared" ref="H30:H31" si="19">D30*0.2</f>
        <v>1385.769852</v>
      </c>
      <c r="I30" s="447">
        <f t="shared" ref="I30:I31" si="20">D30*0.2</f>
        <v>1385.769852</v>
      </c>
    </row>
    <row r="31" ht="24" customHeight="1" spans="1:9">
      <c r="A31" s="453"/>
      <c r="B31" s="448"/>
      <c r="C31" s="329" t="s">
        <v>15</v>
      </c>
      <c r="D31" s="443">
        <f>'项目建设投资估算表 '!U53</f>
        <v>20576.91545</v>
      </c>
      <c r="E31" s="447">
        <f t="shared" si="16"/>
        <v>4115.38309</v>
      </c>
      <c r="F31" s="447">
        <f t="shared" si="17"/>
        <v>4115.38309</v>
      </c>
      <c r="G31" s="447">
        <f t="shared" si="18"/>
        <v>4115.38309</v>
      </c>
      <c r="H31" s="447">
        <f t="shared" si="19"/>
        <v>4115.38309</v>
      </c>
      <c r="I31" s="447">
        <f t="shared" si="20"/>
        <v>4115.38309</v>
      </c>
    </row>
    <row r="32" ht="24" customHeight="1" spans="1:9">
      <c r="A32" s="636" t="s">
        <v>27</v>
      </c>
      <c r="B32" s="444" t="s">
        <v>28</v>
      </c>
      <c r="C32" s="322" t="s">
        <v>4</v>
      </c>
      <c r="D32" s="440">
        <f>SUM(E32:I32)</f>
        <v>134759.463862152</v>
      </c>
      <c r="E32" s="440">
        <f>SUM(E33:E35)</f>
        <v>6379.99481858648</v>
      </c>
      <c r="F32" s="440">
        <f t="shared" ref="F32:I32" si="21">SUM(F33:F35)</f>
        <v>18293.4831329594</v>
      </c>
      <c r="G32" s="440">
        <f t="shared" si="21"/>
        <v>29360.4701245324</v>
      </c>
      <c r="H32" s="440">
        <f t="shared" si="21"/>
        <v>37887.9531477054</v>
      </c>
      <c r="I32" s="440">
        <f t="shared" si="21"/>
        <v>42837.5626383684</v>
      </c>
    </row>
    <row r="33" ht="24" customHeight="1" spans="1:9">
      <c r="A33" s="441"/>
      <c r="B33" s="446"/>
      <c r="C33" s="329" t="s">
        <v>13</v>
      </c>
      <c r="D33" s="443">
        <f>SUM(E33:I33)</f>
        <v>34004.189487828</v>
      </c>
      <c r="E33" s="443">
        <f>'建设期支付利息还本付息计划表  '!E26</f>
        <v>1525.90647468112</v>
      </c>
      <c r="F33" s="443">
        <f>'建设期支付利息还本付息计划表  '!F26</f>
        <v>4429.73826764336</v>
      </c>
      <c r="G33" s="443">
        <f>'建设期支付利息还本付息计划表  '!G26</f>
        <v>7185.5889042056</v>
      </c>
      <c r="H33" s="443">
        <f>'建设期支付利息还本付息计划表  '!H26</f>
        <v>9497.49607156784</v>
      </c>
      <c r="I33" s="443">
        <f>'建设期支付利息还本付息计划表  '!I26</f>
        <v>11365.4597697301</v>
      </c>
    </row>
    <row r="34" ht="24" customHeight="1" spans="1:9">
      <c r="A34" s="441"/>
      <c r="B34" s="446"/>
      <c r="C34" s="329" t="s">
        <v>14</v>
      </c>
      <c r="D34" s="443">
        <f t="shared" ref="D34:D35" si="22">SUM(E34:I34)</f>
        <v>26763.7313280641</v>
      </c>
      <c r="E34" s="443">
        <f>'建设期支付利息还本付息计划表  '!E27</f>
        <v>1342.65596765496</v>
      </c>
      <c r="F34" s="443">
        <f>'建设期支付利息还本付息计划表  '!F27</f>
        <v>3822.10010656488</v>
      </c>
      <c r="G34" s="443">
        <f>'建设期支付利息还本付息计划表  '!G27</f>
        <v>6095.6764490748</v>
      </c>
      <c r="H34" s="443">
        <f>'建设期支付利息还本付息计划表  '!H27</f>
        <v>7751.64940238472</v>
      </c>
      <c r="I34" s="443">
        <f>'建设期支付利息还本付息计划表  '!I27</f>
        <v>7751.64940238472</v>
      </c>
    </row>
    <row r="35" ht="24" customHeight="1" spans="1:9">
      <c r="A35" s="438"/>
      <c r="B35" s="448"/>
      <c r="C35" s="329" t="s">
        <v>15</v>
      </c>
      <c r="D35" s="443">
        <f t="shared" si="22"/>
        <v>73991.54304626</v>
      </c>
      <c r="E35" s="443">
        <f>'建设期支付利息还本付息计划表  '!E28</f>
        <v>3511.4323762504</v>
      </c>
      <c r="F35" s="443">
        <f>'建设期支付利息还本付息计划表  '!F28</f>
        <v>10041.6447587512</v>
      </c>
      <c r="G35" s="443">
        <f>'建设期支付利息还本付息计划表  '!G28</f>
        <v>16079.204771252</v>
      </c>
      <c r="H35" s="443">
        <f>'建设期支付利息还本付息计划表  '!H28</f>
        <v>20638.8076737528</v>
      </c>
      <c r="I35" s="443">
        <f>'建设期支付利息还本付息计划表  '!I28</f>
        <v>23720.4534662536</v>
      </c>
    </row>
    <row r="36" s="429" customFormat="1" ht="24" customHeight="1" spans="1:9">
      <c r="A36" s="435">
        <v>2</v>
      </c>
      <c r="B36" s="444" t="s">
        <v>29</v>
      </c>
      <c r="C36" s="322" t="s">
        <v>4</v>
      </c>
      <c r="D36" s="440">
        <f>D8</f>
        <v>1195661.268619</v>
      </c>
      <c r="E36" s="440">
        <f>E40+E48</f>
        <v>325509.9397238</v>
      </c>
      <c r="F36" s="440">
        <f>F40+F48</f>
        <v>282321.0967238</v>
      </c>
      <c r="G36" s="440">
        <f>G40+G48</f>
        <v>282321.0967238</v>
      </c>
      <c r="H36" s="440">
        <f>H40+H48</f>
        <v>152754.5677238</v>
      </c>
      <c r="I36" s="440">
        <f>I40+I48</f>
        <v>152754.5677238</v>
      </c>
    </row>
    <row r="37" s="429" customFormat="1" ht="24" customHeight="1" spans="1:9">
      <c r="A37" s="441"/>
      <c r="B37" s="446"/>
      <c r="C37" s="329" t="s">
        <v>13</v>
      </c>
      <c r="D37" s="443">
        <f>SUM(E37:I37)</f>
        <v>313761.265786</v>
      </c>
      <c r="E37" s="443">
        <f t="shared" ref="E37:I39" si="23">E41+E49</f>
        <v>77852.3711572</v>
      </c>
      <c r="F37" s="443">
        <f t="shared" si="23"/>
        <v>70302.3121572</v>
      </c>
      <c r="G37" s="443">
        <f t="shared" si="23"/>
        <v>70302.3121572</v>
      </c>
      <c r="H37" s="443">
        <f t="shared" si="23"/>
        <v>47652.1351572</v>
      </c>
      <c r="I37" s="443">
        <f t="shared" si="23"/>
        <v>47652.1351572</v>
      </c>
    </row>
    <row r="38" s="429" customFormat="1" ht="24" customHeight="1" spans="1:9">
      <c r="A38" s="441"/>
      <c r="B38" s="446"/>
      <c r="C38" s="329" t="s">
        <v>14</v>
      </c>
      <c r="D38" s="443">
        <f t="shared" ref="D38:D43" si="24">SUM(E38:I38)</f>
        <v>237479.687463</v>
      </c>
      <c r="E38" s="443">
        <f t="shared" si="23"/>
        <v>68502.8554926</v>
      </c>
      <c r="F38" s="443">
        <f t="shared" si="23"/>
        <v>57999.3964926</v>
      </c>
      <c r="G38" s="443">
        <f t="shared" si="23"/>
        <v>57999.3964926</v>
      </c>
      <c r="H38" s="443">
        <f t="shared" si="23"/>
        <v>26489.0194926</v>
      </c>
      <c r="I38" s="443">
        <f t="shared" si="23"/>
        <v>26489.0194926</v>
      </c>
    </row>
    <row r="39" s="429" customFormat="1" ht="24" customHeight="1" spans="1:9">
      <c r="A39" s="438"/>
      <c r="B39" s="448"/>
      <c r="C39" s="329" t="s">
        <v>15</v>
      </c>
      <c r="D39" s="443">
        <f t="shared" si="24"/>
        <v>644420.31537</v>
      </c>
      <c r="E39" s="443">
        <f t="shared" si="23"/>
        <v>179154.713074</v>
      </c>
      <c r="F39" s="443">
        <f t="shared" si="23"/>
        <v>154019.388074</v>
      </c>
      <c r="G39" s="443">
        <f t="shared" si="23"/>
        <v>154019.388074</v>
      </c>
      <c r="H39" s="443">
        <f t="shared" si="23"/>
        <v>78613.413074</v>
      </c>
      <c r="I39" s="443">
        <f t="shared" si="23"/>
        <v>78613.413074</v>
      </c>
    </row>
    <row r="40" ht="24" customHeight="1" spans="1:10">
      <c r="A40" s="455">
        <v>2.1</v>
      </c>
      <c r="B40" s="444" t="s">
        <v>30</v>
      </c>
      <c r="C40" s="322" t="s">
        <v>4</v>
      </c>
      <c r="D40" s="440">
        <f t="shared" si="24"/>
        <v>239132.2537238</v>
      </c>
      <c r="E40" s="440">
        <f>SUM(E44:E44)</f>
        <v>65101.98794476</v>
      </c>
      <c r="F40" s="440">
        <f>SUM(F44:F44)</f>
        <v>56464.21934476</v>
      </c>
      <c r="G40" s="440">
        <f>SUM(G44:G44)</f>
        <v>56464.21934476</v>
      </c>
      <c r="H40" s="440">
        <f>SUM(H44:H44)</f>
        <v>30550.91354476</v>
      </c>
      <c r="I40" s="440">
        <f>SUM(I44:I44)</f>
        <v>30550.91354476</v>
      </c>
      <c r="J40" s="469"/>
    </row>
    <row r="41" ht="24" customHeight="1" spans="1:9">
      <c r="A41" s="456"/>
      <c r="B41" s="446"/>
      <c r="C41" s="329" t="s">
        <v>13</v>
      </c>
      <c r="D41" s="457">
        <f t="shared" si="24"/>
        <v>62752.2531572</v>
      </c>
      <c r="E41" s="443">
        <f>SUM(E45:E45)</f>
        <v>15570.47423144</v>
      </c>
      <c r="F41" s="443">
        <f t="shared" ref="F41:I41" si="25">SUM(F45:F45)</f>
        <v>14060.46243144</v>
      </c>
      <c r="G41" s="443">
        <f t="shared" si="25"/>
        <v>14060.46243144</v>
      </c>
      <c r="H41" s="443">
        <f t="shared" si="25"/>
        <v>9530.42703144</v>
      </c>
      <c r="I41" s="443">
        <f t="shared" si="25"/>
        <v>9530.42703144</v>
      </c>
    </row>
    <row r="42" ht="24" customHeight="1" spans="1:9">
      <c r="A42" s="456"/>
      <c r="B42" s="446"/>
      <c r="C42" s="329" t="s">
        <v>14</v>
      </c>
      <c r="D42" s="457">
        <f t="shared" si="24"/>
        <v>47495.9374926</v>
      </c>
      <c r="E42" s="443">
        <f t="shared" ref="E42:I43" si="26">SUM(E46:E46)</f>
        <v>13700.57109852</v>
      </c>
      <c r="F42" s="443">
        <f>SUM(F46:F46)</f>
        <v>11599.87929852</v>
      </c>
      <c r="G42" s="443">
        <f t="shared" si="26"/>
        <v>11599.87929852</v>
      </c>
      <c r="H42" s="443">
        <f t="shared" si="26"/>
        <v>5297.80389852</v>
      </c>
      <c r="I42" s="443">
        <f t="shared" si="26"/>
        <v>5297.80389852</v>
      </c>
    </row>
    <row r="43" ht="24" customHeight="1" spans="1:9">
      <c r="A43" s="458"/>
      <c r="B43" s="448"/>
      <c r="C43" s="329" t="s">
        <v>15</v>
      </c>
      <c r="D43" s="457">
        <f t="shared" si="24"/>
        <v>128884.063074</v>
      </c>
      <c r="E43" s="443">
        <f t="shared" si="26"/>
        <v>35830.9426148</v>
      </c>
      <c r="F43" s="443">
        <f t="shared" si="26"/>
        <v>30803.8776148</v>
      </c>
      <c r="G43" s="443">
        <f t="shared" si="26"/>
        <v>30803.8776148</v>
      </c>
      <c r="H43" s="443">
        <f t="shared" si="26"/>
        <v>15722.6826148</v>
      </c>
      <c r="I43" s="443">
        <f t="shared" si="26"/>
        <v>15722.6826148</v>
      </c>
    </row>
    <row r="44" ht="24" customHeight="1" spans="1:9">
      <c r="A44" s="637" t="s">
        <v>31</v>
      </c>
      <c r="B44" s="444" t="s">
        <v>32</v>
      </c>
      <c r="C44" s="322" t="s">
        <v>4</v>
      </c>
      <c r="D44" s="440">
        <f>D36*0.2</f>
        <v>239132.2537238</v>
      </c>
      <c r="E44" s="440">
        <f>E8*0.2</f>
        <v>65101.98794476</v>
      </c>
      <c r="F44" s="440">
        <f t="shared" ref="F44:I45" si="27">F8*0.2</f>
        <v>56464.21934476</v>
      </c>
      <c r="G44" s="440">
        <f t="shared" si="27"/>
        <v>56464.21934476</v>
      </c>
      <c r="H44" s="440">
        <f t="shared" si="27"/>
        <v>30550.91354476</v>
      </c>
      <c r="I44" s="440">
        <f t="shared" si="27"/>
        <v>30550.91354476</v>
      </c>
    </row>
    <row r="45" ht="24" customHeight="1" spans="1:9">
      <c r="A45" s="450"/>
      <c r="B45" s="446"/>
      <c r="C45" s="329" t="s">
        <v>13</v>
      </c>
      <c r="D45" s="443">
        <f>SUM(E45:I45)</f>
        <v>62752.2531572</v>
      </c>
      <c r="E45" s="443">
        <f>E9*0.2</f>
        <v>15570.47423144</v>
      </c>
      <c r="F45" s="443">
        <f t="shared" si="27"/>
        <v>14060.46243144</v>
      </c>
      <c r="G45" s="443">
        <f t="shared" si="27"/>
        <v>14060.46243144</v>
      </c>
      <c r="H45" s="443">
        <f t="shared" si="27"/>
        <v>9530.42703144</v>
      </c>
      <c r="I45" s="443">
        <f t="shared" si="27"/>
        <v>9530.42703144</v>
      </c>
    </row>
    <row r="46" ht="24" customHeight="1" spans="1:9">
      <c r="A46" s="450"/>
      <c r="B46" s="446"/>
      <c r="C46" s="329" t="s">
        <v>14</v>
      </c>
      <c r="D46" s="443">
        <f t="shared" ref="D46:D47" si="28">SUM(E46:I46)</f>
        <v>47495.9374926</v>
      </c>
      <c r="E46" s="443">
        <f t="shared" ref="E46:I47" si="29">E10*0.2</f>
        <v>13700.57109852</v>
      </c>
      <c r="F46" s="443">
        <f t="shared" si="29"/>
        <v>11599.87929852</v>
      </c>
      <c r="G46" s="443">
        <f t="shared" si="29"/>
        <v>11599.87929852</v>
      </c>
      <c r="H46" s="443">
        <f t="shared" si="29"/>
        <v>5297.80389852</v>
      </c>
      <c r="I46" s="443">
        <f t="shared" si="29"/>
        <v>5297.80389852</v>
      </c>
    </row>
    <row r="47" ht="24" customHeight="1" spans="1:9">
      <c r="A47" s="453"/>
      <c r="B47" s="448"/>
      <c r="C47" s="329" t="s">
        <v>15</v>
      </c>
      <c r="D47" s="443">
        <f t="shared" si="28"/>
        <v>128884.063074</v>
      </c>
      <c r="E47" s="443">
        <f t="shared" si="29"/>
        <v>35830.9426148</v>
      </c>
      <c r="F47" s="443">
        <f t="shared" si="29"/>
        <v>30803.8776148</v>
      </c>
      <c r="G47" s="443">
        <f t="shared" si="29"/>
        <v>30803.8776148</v>
      </c>
      <c r="H47" s="443">
        <f t="shared" si="29"/>
        <v>15722.6826148</v>
      </c>
      <c r="I47" s="443">
        <f t="shared" si="29"/>
        <v>15722.6826148</v>
      </c>
    </row>
    <row r="48" ht="24" customHeight="1" spans="1:9">
      <c r="A48" s="455">
        <v>2.2</v>
      </c>
      <c r="B48" s="444" t="s">
        <v>33</v>
      </c>
      <c r="C48" s="322" t="s">
        <v>4</v>
      </c>
      <c r="D48" s="440">
        <f>D36*0.8</f>
        <v>956529.0148952</v>
      </c>
      <c r="E48" s="440">
        <f>E52</f>
        <v>260407.95177904</v>
      </c>
      <c r="F48" s="440">
        <f>F52</f>
        <v>225856.87737904</v>
      </c>
      <c r="G48" s="440">
        <f>G52</f>
        <v>225856.87737904</v>
      </c>
      <c r="H48" s="440">
        <f>H52</f>
        <v>122203.65417904</v>
      </c>
      <c r="I48" s="440">
        <f>I52</f>
        <v>122203.65417904</v>
      </c>
    </row>
    <row r="49" ht="24" customHeight="1" spans="1:9">
      <c r="A49" s="456"/>
      <c r="B49" s="446"/>
      <c r="C49" s="329" t="s">
        <v>13</v>
      </c>
      <c r="D49" s="443">
        <f>SUM(E49:I49)</f>
        <v>251009.0126288</v>
      </c>
      <c r="E49" s="443">
        <f t="shared" ref="E49:I51" si="30">E53</f>
        <v>62281.89692576</v>
      </c>
      <c r="F49" s="443">
        <f t="shared" si="30"/>
        <v>56241.84972576</v>
      </c>
      <c r="G49" s="443">
        <f t="shared" si="30"/>
        <v>56241.84972576</v>
      </c>
      <c r="H49" s="443">
        <f t="shared" si="30"/>
        <v>38121.70812576</v>
      </c>
      <c r="I49" s="443">
        <f t="shared" si="30"/>
        <v>38121.70812576</v>
      </c>
    </row>
    <row r="50" ht="24" customHeight="1" spans="1:9">
      <c r="A50" s="456"/>
      <c r="B50" s="446"/>
      <c r="C50" s="329" t="s">
        <v>14</v>
      </c>
      <c r="D50" s="443">
        <f t="shared" ref="D50:D51" si="31">SUM(E50:I50)</f>
        <v>189983.7499704</v>
      </c>
      <c r="E50" s="443">
        <f t="shared" si="30"/>
        <v>54802.28439408</v>
      </c>
      <c r="F50" s="443">
        <f t="shared" si="30"/>
        <v>46399.51719408</v>
      </c>
      <c r="G50" s="443">
        <f t="shared" si="30"/>
        <v>46399.51719408</v>
      </c>
      <c r="H50" s="443">
        <f t="shared" si="30"/>
        <v>21191.21559408</v>
      </c>
      <c r="I50" s="443">
        <f t="shared" si="30"/>
        <v>21191.21559408</v>
      </c>
    </row>
    <row r="51" ht="24" customHeight="1" spans="1:9">
      <c r="A51" s="458"/>
      <c r="B51" s="448"/>
      <c r="C51" s="329" t="s">
        <v>15</v>
      </c>
      <c r="D51" s="443">
        <f t="shared" si="31"/>
        <v>515536.252296</v>
      </c>
      <c r="E51" s="443">
        <f t="shared" si="30"/>
        <v>143323.7704592</v>
      </c>
      <c r="F51" s="443">
        <f t="shared" si="30"/>
        <v>123215.5104592</v>
      </c>
      <c r="G51" s="443">
        <f t="shared" si="30"/>
        <v>123215.5104592</v>
      </c>
      <c r="H51" s="443">
        <f t="shared" si="30"/>
        <v>62890.7304592</v>
      </c>
      <c r="I51" s="443">
        <f t="shared" si="30"/>
        <v>62890.7304592</v>
      </c>
    </row>
    <row r="52" ht="24" customHeight="1" spans="1:9">
      <c r="A52" s="637" t="s">
        <v>34</v>
      </c>
      <c r="B52" s="444" t="s">
        <v>32</v>
      </c>
      <c r="C52" s="322" t="s">
        <v>4</v>
      </c>
      <c r="D52" s="440">
        <f>D48</f>
        <v>956529.0148952</v>
      </c>
      <c r="E52" s="440">
        <f>E8*0.8</f>
        <v>260407.95177904</v>
      </c>
      <c r="F52" s="440">
        <f t="shared" ref="F52:I53" si="32">F8*0.8</f>
        <v>225856.87737904</v>
      </c>
      <c r="G52" s="440">
        <f t="shared" si="32"/>
        <v>225856.87737904</v>
      </c>
      <c r="H52" s="440">
        <f t="shared" si="32"/>
        <v>122203.65417904</v>
      </c>
      <c r="I52" s="440">
        <f t="shared" si="32"/>
        <v>122203.65417904</v>
      </c>
    </row>
    <row r="53" ht="24" customHeight="1" spans="1:9">
      <c r="A53" s="450"/>
      <c r="B53" s="446"/>
      <c r="C53" s="329" t="s">
        <v>13</v>
      </c>
      <c r="D53" s="443">
        <f>SUM(E53:I53)</f>
        <v>251009.0126288</v>
      </c>
      <c r="E53" s="443">
        <f>E9*0.8</f>
        <v>62281.89692576</v>
      </c>
      <c r="F53" s="443">
        <f t="shared" si="32"/>
        <v>56241.84972576</v>
      </c>
      <c r="G53" s="443">
        <f t="shared" si="32"/>
        <v>56241.84972576</v>
      </c>
      <c r="H53" s="443">
        <f t="shared" si="32"/>
        <v>38121.70812576</v>
      </c>
      <c r="I53" s="443">
        <f t="shared" si="32"/>
        <v>38121.70812576</v>
      </c>
    </row>
    <row r="54" ht="24" customHeight="1" spans="1:9">
      <c r="A54" s="450"/>
      <c r="B54" s="446"/>
      <c r="C54" s="329" t="s">
        <v>14</v>
      </c>
      <c r="D54" s="443">
        <f>SUM(E54:I54)</f>
        <v>189983.7499704</v>
      </c>
      <c r="E54" s="443">
        <f t="shared" ref="E54:I55" si="33">E10*0.8</f>
        <v>54802.28439408</v>
      </c>
      <c r="F54" s="443">
        <f t="shared" si="33"/>
        <v>46399.51719408</v>
      </c>
      <c r="G54" s="443">
        <f t="shared" si="33"/>
        <v>46399.51719408</v>
      </c>
      <c r="H54" s="443">
        <f t="shared" si="33"/>
        <v>21191.21559408</v>
      </c>
      <c r="I54" s="443">
        <f t="shared" si="33"/>
        <v>21191.21559408</v>
      </c>
    </row>
    <row r="55" ht="24" customHeight="1" spans="1:9">
      <c r="A55" s="453"/>
      <c r="B55" s="448"/>
      <c r="C55" s="329" t="s">
        <v>15</v>
      </c>
      <c r="D55" s="443">
        <f t="shared" ref="D55:D59" si="34">SUM(E55:I55)</f>
        <v>515536.252296</v>
      </c>
      <c r="E55" s="443">
        <f t="shared" si="33"/>
        <v>143323.7704592</v>
      </c>
      <c r="F55" s="443">
        <f t="shared" si="33"/>
        <v>123215.5104592</v>
      </c>
      <c r="G55" s="443">
        <f t="shared" si="33"/>
        <v>123215.5104592</v>
      </c>
      <c r="H55" s="443">
        <f t="shared" si="33"/>
        <v>62890.7304592</v>
      </c>
      <c r="I55" s="443">
        <f t="shared" si="33"/>
        <v>62890.7304592</v>
      </c>
    </row>
    <row r="56" s="430" customFormat="1" ht="19.9" customHeight="1" spans="1:9">
      <c r="A56" s="459">
        <v>3</v>
      </c>
      <c r="B56" s="633" t="s">
        <v>35</v>
      </c>
      <c r="C56" s="322" t="s">
        <v>4</v>
      </c>
      <c r="D56" s="461">
        <f t="shared" si="34"/>
        <v>1</v>
      </c>
      <c r="E56" s="461">
        <f>E8/D8</f>
        <v>0.272242606051601</v>
      </c>
      <c r="F56" s="461">
        <f>F8/D8</f>
        <v>0.236121303025801</v>
      </c>
      <c r="G56" s="461">
        <f>G8/D8</f>
        <v>0.236121303025801</v>
      </c>
      <c r="H56" s="461">
        <f>H8/D8</f>
        <v>0.127757393948399</v>
      </c>
      <c r="I56" s="461">
        <f>I8/D8</f>
        <v>0.127757393948399</v>
      </c>
    </row>
    <row r="57" s="430" customFormat="1" ht="19.9" customHeight="1" spans="1:9">
      <c r="A57" s="462"/>
      <c r="B57" s="634"/>
      <c r="C57" s="329" t="s">
        <v>13</v>
      </c>
      <c r="D57" s="464">
        <f t="shared" si="34"/>
        <v>1</v>
      </c>
      <c r="E57" s="464">
        <f>E9/D9</f>
        <v>0.248126138075625</v>
      </c>
      <c r="F57" s="464">
        <f t="shared" ref="F57:F59" si="35">F9/D9</f>
        <v>0.224063069037813</v>
      </c>
      <c r="G57" s="464">
        <f t="shared" ref="G57:G59" si="36">G9/D9</f>
        <v>0.224063069037813</v>
      </c>
      <c r="H57" s="464">
        <f t="shared" ref="H57:H59" si="37">H9/D9</f>
        <v>0.151873861924375</v>
      </c>
      <c r="I57" s="464">
        <f t="shared" ref="I57:I59" si="38">I9/D9</f>
        <v>0.151873861924375</v>
      </c>
    </row>
    <row r="58" spans="1:9">
      <c r="A58" s="462"/>
      <c r="B58" s="634"/>
      <c r="C58" s="329" t="s">
        <v>14</v>
      </c>
      <c r="D58" s="464">
        <f t="shared" si="34"/>
        <v>1</v>
      </c>
      <c r="E58" s="464">
        <f t="shared" ref="E58:E59" si="39">E10/D10</f>
        <v>0.288457746531576</v>
      </c>
      <c r="F58" s="464">
        <f t="shared" si="35"/>
        <v>0.244228873265788</v>
      </c>
      <c r="G58" s="464">
        <f t="shared" si="36"/>
        <v>0.244228873265788</v>
      </c>
      <c r="H58" s="464">
        <f t="shared" si="37"/>
        <v>0.111542253468424</v>
      </c>
      <c r="I58" s="464">
        <f t="shared" si="38"/>
        <v>0.111542253468424</v>
      </c>
    </row>
    <row r="59" spans="1:9">
      <c r="A59" s="462"/>
      <c r="B59" s="635"/>
      <c r="C59" s="329" t="s">
        <v>15</v>
      </c>
      <c r="D59" s="464">
        <f t="shared" si="34"/>
        <v>1</v>
      </c>
      <c r="E59" s="464">
        <f t="shared" si="39"/>
        <v>0.278009101825315</v>
      </c>
      <c r="F59" s="464">
        <f t="shared" si="35"/>
        <v>0.239004550912657</v>
      </c>
      <c r="G59" s="464">
        <f t="shared" si="36"/>
        <v>0.239004550912657</v>
      </c>
      <c r="H59" s="464">
        <f t="shared" si="37"/>
        <v>0.121990898174685</v>
      </c>
      <c r="I59" s="464">
        <f t="shared" si="38"/>
        <v>0.121990898174685</v>
      </c>
    </row>
    <row r="60" ht="63" customHeight="1" spans="2:7">
      <c r="B60" s="361"/>
      <c r="C60"/>
      <c r="D60"/>
      <c r="G60" s="466"/>
    </row>
    <row r="61" ht="44.25" customHeight="1" spans="2:4">
      <c r="B61" s="361"/>
      <c r="C61"/>
      <c r="D61"/>
    </row>
  </sheetData>
  <mergeCells count="33">
    <mergeCell ref="A1:I1"/>
    <mergeCell ref="E2:I2"/>
    <mergeCell ref="A2:A3"/>
    <mergeCell ref="A4:A7"/>
    <mergeCell ref="A8:A11"/>
    <mergeCell ref="A12:A19"/>
    <mergeCell ref="A20:A23"/>
    <mergeCell ref="A24:A27"/>
    <mergeCell ref="A28:A31"/>
    <mergeCell ref="A32:A35"/>
    <mergeCell ref="A36:A39"/>
    <mergeCell ref="A40:A43"/>
    <mergeCell ref="A44:A47"/>
    <mergeCell ref="A48:A51"/>
    <mergeCell ref="A52:A55"/>
    <mergeCell ref="A56:A59"/>
    <mergeCell ref="B2:B3"/>
    <mergeCell ref="B4:B7"/>
    <mergeCell ref="B8:B11"/>
    <mergeCell ref="B12:B15"/>
    <mergeCell ref="B16:B19"/>
    <mergeCell ref="B20:B23"/>
    <mergeCell ref="B24:B27"/>
    <mergeCell ref="B28:B31"/>
    <mergeCell ref="B32:B35"/>
    <mergeCell ref="B36:B39"/>
    <mergeCell ref="B40:B43"/>
    <mergeCell ref="B44:B47"/>
    <mergeCell ref="B48:B51"/>
    <mergeCell ref="B52:B55"/>
    <mergeCell ref="B56:B59"/>
    <mergeCell ref="C2:C3"/>
    <mergeCell ref="D2:D3"/>
  </mergeCells>
  <pageMargins left="1.0625" right="0.590277777777778" top="0.747916666666667" bottom="0.826388888888889" header="0.511805555555556" footer="0.511805555555556"/>
  <pageSetup paperSize="9" scale="85" fitToHeight="100" orientation="portrait"/>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46"/>
  <sheetViews>
    <sheetView zoomScale="80" zoomScaleNormal="80" topLeftCell="A7" workbookViewId="0">
      <selection activeCell="M49" sqref="M49"/>
    </sheetView>
  </sheetViews>
  <sheetFormatPr defaultColWidth="9" defaultRowHeight="14.25"/>
  <cols>
    <col min="1" max="1" width="5.875" customWidth="1"/>
    <col min="2" max="2" width="9.125" customWidth="1"/>
    <col min="3" max="3" width="6.375" customWidth="1"/>
    <col min="4" max="4" width="13.5" style="309" customWidth="1"/>
    <col min="5" max="6" width="11.75" style="309" customWidth="1"/>
    <col min="7" max="7" width="11.125" style="309" customWidth="1"/>
    <col min="8" max="8" width="12.125" style="309" customWidth="1"/>
    <col min="9" max="9" width="11.5" style="309" customWidth="1"/>
    <col min="10" max="19" width="11.25" style="309" customWidth="1"/>
    <col min="21" max="21" width="12.125" customWidth="1"/>
  </cols>
  <sheetData>
    <row r="1" ht="20.25" spans="1:19">
      <c r="A1" s="310" t="s">
        <v>279</v>
      </c>
      <c r="B1" s="310"/>
      <c r="C1" s="310"/>
      <c r="D1" s="310"/>
      <c r="E1" s="310"/>
      <c r="F1" s="310"/>
      <c r="G1" s="310"/>
      <c r="H1" s="310"/>
      <c r="I1" s="310"/>
      <c r="J1" s="310"/>
      <c r="K1" s="310"/>
      <c r="L1" s="310"/>
      <c r="M1" s="310"/>
      <c r="N1" s="310"/>
      <c r="O1" s="310"/>
      <c r="P1" s="310"/>
      <c r="Q1" s="310"/>
      <c r="R1" s="310"/>
      <c r="S1" s="310"/>
    </row>
    <row r="2" ht="22.5" customHeight="1" spans="1:19">
      <c r="A2" s="311" t="s">
        <v>1</v>
      </c>
      <c r="B2" s="311" t="s">
        <v>42</v>
      </c>
      <c r="C2" s="311"/>
      <c r="D2" s="312" t="s">
        <v>4</v>
      </c>
      <c r="E2" s="313" t="s">
        <v>5</v>
      </c>
      <c r="F2" s="313"/>
      <c r="G2" s="313"/>
      <c r="H2" s="313"/>
      <c r="I2" s="313"/>
      <c r="J2" s="357" t="s">
        <v>43</v>
      </c>
      <c r="K2" s="358"/>
      <c r="L2" s="358"/>
      <c r="M2" s="358"/>
      <c r="N2" s="358"/>
      <c r="O2" s="358"/>
      <c r="P2" s="358"/>
      <c r="Q2" s="358"/>
      <c r="R2" s="358"/>
      <c r="S2" s="360"/>
    </row>
    <row r="3" ht="22.5" customHeight="1" spans="1:19">
      <c r="A3" s="314"/>
      <c r="B3" s="314"/>
      <c r="C3" s="314"/>
      <c r="D3" s="315"/>
      <c r="E3" s="316" t="s">
        <v>6</v>
      </c>
      <c r="F3" s="316" t="s">
        <v>7</v>
      </c>
      <c r="G3" s="316" t="s">
        <v>8</v>
      </c>
      <c r="H3" s="316" t="s">
        <v>9</v>
      </c>
      <c r="I3" s="316" t="s">
        <v>10</v>
      </c>
      <c r="J3" s="316" t="s">
        <v>235</v>
      </c>
      <c r="K3" s="316" t="s">
        <v>236</v>
      </c>
      <c r="L3" s="316" t="s">
        <v>237</v>
      </c>
      <c r="M3" s="316" t="s">
        <v>238</v>
      </c>
      <c r="N3" s="316" t="s">
        <v>239</v>
      </c>
      <c r="O3" s="316" t="s">
        <v>240</v>
      </c>
      <c r="P3" s="316" t="s">
        <v>241</v>
      </c>
      <c r="Q3" s="316" t="s">
        <v>242</v>
      </c>
      <c r="R3" s="316" t="s">
        <v>243</v>
      </c>
      <c r="S3" s="316" t="s">
        <v>244</v>
      </c>
    </row>
    <row r="4" ht="18.75" customHeight="1" spans="1:19">
      <c r="A4" s="317"/>
      <c r="B4" s="317"/>
      <c r="C4" s="317"/>
      <c r="D4" s="318"/>
      <c r="E4" s="319" t="s">
        <v>280</v>
      </c>
      <c r="F4" s="320" t="s">
        <v>281</v>
      </c>
      <c r="G4" s="319" t="s">
        <v>282</v>
      </c>
      <c r="H4" s="320" t="s">
        <v>283</v>
      </c>
      <c r="I4" s="319" t="s">
        <v>284</v>
      </c>
      <c r="J4" s="320" t="s">
        <v>285</v>
      </c>
      <c r="K4" s="319" t="s">
        <v>286</v>
      </c>
      <c r="L4" s="320" t="s">
        <v>287</v>
      </c>
      <c r="M4" s="319" t="s">
        <v>288</v>
      </c>
      <c r="N4" s="320" t="s">
        <v>289</v>
      </c>
      <c r="O4" s="319" t="s">
        <v>290</v>
      </c>
      <c r="P4" s="320" t="s">
        <v>291</v>
      </c>
      <c r="Q4" s="319" t="s">
        <v>292</v>
      </c>
      <c r="R4" s="320" t="s">
        <v>293</v>
      </c>
      <c r="S4" s="319" t="s">
        <v>294</v>
      </c>
    </row>
    <row r="5" s="177" customFormat="1" ht="20.25" customHeight="1" spans="1:19">
      <c r="A5" s="321">
        <v>1</v>
      </c>
      <c r="B5" s="321" t="s">
        <v>295</v>
      </c>
      <c r="C5" s="322" t="s">
        <v>4</v>
      </c>
      <c r="D5" s="323" t="s">
        <v>296</v>
      </c>
      <c r="E5" s="324"/>
      <c r="F5" s="324">
        <f>SUM(F6:F8)</f>
        <v>260407.95177904</v>
      </c>
      <c r="G5" s="324">
        <f t="shared" ref="G5:J5" si="0">SUM(G6:G8)</f>
        <v>486264.82915808</v>
      </c>
      <c r="H5" s="324">
        <f t="shared" si="0"/>
        <v>712121.70653712</v>
      </c>
      <c r="I5" s="324">
        <f t="shared" si="0"/>
        <v>813134.14512208</v>
      </c>
      <c r="J5" s="324">
        <f t="shared" si="0"/>
        <v>956529.0148952</v>
      </c>
      <c r="K5" s="324">
        <f t="shared" ref="K5:S5" si="1">SUM(K6:K8)</f>
        <v>880124.906332663</v>
      </c>
      <c r="L5" s="324">
        <f t="shared" si="1"/>
        <v>799976.996450561</v>
      </c>
      <c r="M5" s="324">
        <f t="shared" si="1"/>
        <v>715901.838984236</v>
      </c>
      <c r="N5" s="324">
        <f t="shared" si="1"/>
        <v>627706.998802062</v>
      </c>
      <c r="O5" s="324">
        <f t="shared" si="1"/>
        <v>535190.611450961</v>
      </c>
      <c r="P5" s="324">
        <f t="shared" si="1"/>
        <v>438140.921119655</v>
      </c>
      <c r="Q5" s="324">
        <f t="shared" si="1"/>
        <v>336335.795962116</v>
      </c>
      <c r="R5" s="324">
        <f t="shared" si="1"/>
        <v>229542.219671858</v>
      </c>
      <c r="S5" s="324">
        <f t="shared" si="1"/>
        <v>117515.758143377</v>
      </c>
    </row>
    <row r="6" s="304" customFormat="1" ht="20.25" customHeight="1" spans="1:19">
      <c r="A6" s="325"/>
      <c r="B6" s="325"/>
      <c r="C6" s="326" t="s">
        <v>13</v>
      </c>
      <c r="D6" s="327"/>
      <c r="E6" s="328"/>
      <c r="F6" s="328">
        <f t="shared" ref="F6:F8" si="2">E10</f>
        <v>62281.89692576</v>
      </c>
      <c r="G6" s="328">
        <f t="shared" ref="G6:I8" si="3">F6+F10</f>
        <v>118523.74665152</v>
      </c>
      <c r="H6" s="328">
        <f t="shared" si="3"/>
        <v>174765.59637728</v>
      </c>
      <c r="I6" s="328">
        <f t="shared" si="3"/>
        <v>212887.30450304</v>
      </c>
      <c r="J6" s="328">
        <f>D10</f>
        <v>251009.0126288</v>
      </c>
      <c r="K6" s="328">
        <f t="shared" ref="K6:K7" si="4">J6-J22</f>
        <v>230959.3125649</v>
      </c>
      <c r="L6" s="328">
        <f t="shared" ref="L6" si="5">K6-K22</f>
        <v>209927.17719787</v>
      </c>
      <c r="M6" s="328">
        <f t="shared" ref="M6" si="6">L6-L22</f>
        <v>187864.467197854</v>
      </c>
      <c r="N6" s="328">
        <f t="shared" ref="N6" si="7">M6-M22</f>
        <v>164720.684407838</v>
      </c>
      <c r="O6" s="328">
        <f t="shared" ref="O6" si="8">N6-N22</f>
        <v>140442.856261112</v>
      </c>
      <c r="P6" s="328">
        <f t="shared" ref="P6" si="9">O6-O22</f>
        <v>114975.414535195</v>
      </c>
      <c r="Q6" s="328">
        <f t="shared" ref="Q6" si="10">P6-P22</f>
        <v>88260.0681647091</v>
      </c>
      <c r="R6" s="328">
        <f t="shared" ref="R6" si="11">Q6-Q22</f>
        <v>60235.669822069</v>
      </c>
      <c r="S6" s="328">
        <f t="shared" ref="S6" si="12">R6-R22</f>
        <v>30838.0759606396</v>
      </c>
    </row>
    <row r="7" ht="20.25" customHeight="1" spans="1:21">
      <c r="A7" s="325"/>
      <c r="B7" s="325"/>
      <c r="C7" s="329" t="s">
        <v>14</v>
      </c>
      <c r="D7" s="330"/>
      <c r="E7" s="331"/>
      <c r="F7" s="331">
        <f t="shared" si="2"/>
        <v>54802.28439408</v>
      </c>
      <c r="G7" s="331">
        <f t="shared" si="3"/>
        <v>101201.80158816</v>
      </c>
      <c r="H7" s="331">
        <f>G7+G11</f>
        <v>147601.31878224</v>
      </c>
      <c r="I7" s="331">
        <f>H7-H23</f>
        <v>147601.31878224</v>
      </c>
      <c r="J7" s="331">
        <f>D11</f>
        <v>189983.7499704</v>
      </c>
      <c r="K7" s="331">
        <f t="shared" si="4"/>
        <v>174808.529112675</v>
      </c>
      <c r="L7" s="331">
        <f t="shared" ref="L7" si="13">K7-K23</f>
        <v>158889.722432922</v>
      </c>
      <c r="M7" s="331">
        <f t="shared" ref="M7" si="14">L7-L23</f>
        <v>142190.894225861</v>
      </c>
      <c r="N7" s="331">
        <f t="shared" ref="N7" si="15">M7-M23</f>
        <v>124673.823436654</v>
      </c>
      <c r="O7" s="331">
        <f t="shared" ref="O7" si="16">N7-N23</f>
        <v>106298.416178776</v>
      </c>
      <c r="P7" s="331">
        <f t="shared" ref="P7" si="17">O7-O23</f>
        <v>87022.613965262</v>
      </c>
      <c r="Q7" s="331">
        <f t="shared" ref="Q7" si="18">P7-P23</f>
        <v>66802.2974432857</v>
      </c>
      <c r="R7" s="331">
        <f t="shared" ref="R7" si="19">Q7-Q23</f>
        <v>45591.1854117325</v>
      </c>
      <c r="S7" s="331">
        <f t="shared" ref="S7" si="20">R7-R23</f>
        <v>23340.7288906332</v>
      </c>
      <c r="U7" s="182"/>
    </row>
    <row r="8" s="305" customFormat="1" ht="20.25" customHeight="1" spans="1:19">
      <c r="A8" s="332"/>
      <c r="B8" s="332"/>
      <c r="C8" s="333" t="s">
        <v>15</v>
      </c>
      <c r="D8" s="334"/>
      <c r="E8" s="335"/>
      <c r="F8" s="335">
        <f t="shared" si="2"/>
        <v>143323.7704592</v>
      </c>
      <c r="G8" s="335">
        <f t="shared" si="3"/>
        <v>266539.2809184</v>
      </c>
      <c r="H8" s="335">
        <f t="shared" si="3"/>
        <v>389754.7913776</v>
      </c>
      <c r="I8" s="335">
        <f t="shared" si="3"/>
        <v>452645.5218368</v>
      </c>
      <c r="J8" s="335">
        <f>D12</f>
        <v>515536.252296</v>
      </c>
      <c r="K8" s="335">
        <f t="shared" ref="K8" si="21">J8-J24</f>
        <v>474357.064655087</v>
      </c>
      <c r="L8" s="335">
        <f t="shared" ref="L8" si="22">K8-K24</f>
        <v>431160.096819769</v>
      </c>
      <c r="M8" s="335">
        <f t="shared" ref="M8" si="23">L8-L24</f>
        <v>385846.477560521</v>
      </c>
      <c r="N8" s="335">
        <f t="shared" ref="N8" si="24">M8-M24</f>
        <v>338312.490957569</v>
      </c>
      <c r="O8" s="335">
        <f t="shared" ref="O8" si="25">N8-N24</f>
        <v>288449.339011073</v>
      </c>
      <c r="P8" s="335">
        <f t="shared" ref="P8" si="26">O8-O24</f>
        <v>236142.892619198</v>
      </c>
      <c r="Q8" s="335">
        <f t="shared" ref="Q8" si="27">P8-P24</f>
        <v>181273.430354122</v>
      </c>
      <c r="R8" s="335">
        <f t="shared" ref="R8" si="28">Q8-Q24</f>
        <v>123715.364438056</v>
      </c>
      <c r="S8" s="335">
        <f t="shared" ref="S8" si="29">R8-R24</f>
        <v>63336.953292104</v>
      </c>
    </row>
    <row r="9" s="177" customFormat="1" ht="20.25" customHeight="1" spans="1:19">
      <c r="A9" s="321">
        <v>2</v>
      </c>
      <c r="B9" s="321" t="s">
        <v>297</v>
      </c>
      <c r="C9" s="322" t="s">
        <v>4</v>
      </c>
      <c r="D9" s="324">
        <f>SUM(E9:I9)</f>
        <v>956529.0148952</v>
      </c>
      <c r="E9" s="324">
        <f>SUM(E10:E12)</f>
        <v>260407.95177904</v>
      </c>
      <c r="F9" s="324">
        <f>SUM(F10:F12)</f>
        <v>225856.87737904</v>
      </c>
      <c r="G9" s="324">
        <f t="shared" ref="G9:I9" si="30">SUM(G10:G12)</f>
        <v>225856.87737904</v>
      </c>
      <c r="H9" s="324">
        <f t="shared" si="30"/>
        <v>122203.65417904</v>
      </c>
      <c r="I9" s="324">
        <f t="shared" si="30"/>
        <v>122203.65417904</v>
      </c>
      <c r="J9" s="324"/>
      <c r="K9" s="324"/>
      <c r="L9" s="324"/>
      <c r="M9" s="324"/>
      <c r="N9" s="324"/>
      <c r="O9" s="324"/>
      <c r="P9" s="324"/>
      <c r="Q9" s="324"/>
      <c r="R9" s="324"/>
      <c r="S9" s="324"/>
    </row>
    <row r="10" s="304" customFormat="1" ht="20.25" customHeight="1" spans="1:19">
      <c r="A10" s="325"/>
      <c r="B10" s="325"/>
      <c r="C10" s="326" t="s">
        <v>13</v>
      </c>
      <c r="D10" s="328">
        <f>SUM(E10:I10)</f>
        <v>251009.0126288</v>
      </c>
      <c r="E10" s="328">
        <f>项目投资与资金筹措计划表!E53</f>
        <v>62281.89692576</v>
      </c>
      <c r="F10" s="328">
        <f>项目投资与资金筹措计划表!F53</f>
        <v>56241.84972576</v>
      </c>
      <c r="G10" s="328">
        <f>项目投资与资金筹措计划表!G53</f>
        <v>56241.84972576</v>
      </c>
      <c r="H10" s="328">
        <f>项目投资与资金筹措计划表!H53</f>
        <v>38121.70812576</v>
      </c>
      <c r="I10" s="328">
        <f>项目投资与资金筹措计划表!I53</f>
        <v>38121.70812576</v>
      </c>
      <c r="J10" s="328"/>
      <c r="K10" s="328"/>
      <c r="L10" s="328"/>
      <c r="M10" s="328"/>
      <c r="N10" s="328"/>
      <c r="O10" s="328"/>
      <c r="P10" s="328"/>
      <c r="Q10" s="328"/>
      <c r="R10" s="328"/>
      <c r="S10" s="328"/>
    </row>
    <row r="11" ht="20.25" customHeight="1" spans="1:19">
      <c r="A11" s="325"/>
      <c r="B11" s="325"/>
      <c r="C11" s="329" t="s">
        <v>14</v>
      </c>
      <c r="D11" s="331">
        <f>SUM(E11:I11)</f>
        <v>189983.7499704</v>
      </c>
      <c r="E11" s="331">
        <f>项目投资与资金筹措计划表!E54</f>
        <v>54802.28439408</v>
      </c>
      <c r="F11" s="331">
        <f>项目投资与资金筹措计划表!F54</f>
        <v>46399.51719408</v>
      </c>
      <c r="G11" s="331">
        <f>项目投资与资金筹措计划表!G54</f>
        <v>46399.51719408</v>
      </c>
      <c r="H11" s="331">
        <f>项目投资与资金筹措计划表!H54</f>
        <v>21191.21559408</v>
      </c>
      <c r="I11" s="331">
        <f>项目投资与资金筹措计划表!I54</f>
        <v>21191.21559408</v>
      </c>
      <c r="J11" s="331"/>
      <c r="K11" s="331"/>
      <c r="L11" s="331"/>
      <c r="M11" s="331"/>
      <c r="N11" s="331"/>
      <c r="O11" s="331"/>
      <c r="P11" s="331"/>
      <c r="Q11" s="331"/>
      <c r="R11" s="331"/>
      <c r="S11" s="331"/>
    </row>
    <row r="12" s="305" customFormat="1" ht="20.25" customHeight="1" spans="1:19">
      <c r="A12" s="332"/>
      <c r="B12" s="332"/>
      <c r="C12" s="333" t="s">
        <v>15</v>
      </c>
      <c r="D12" s="335">
        <f t="shared" ref="D12" si="31">SUM(E12:I12)</f>
        <v>515536.252296</v>
      </c>
      <c r="E12" s="335">
        <f>项目投资与资金筹措计划表!E55</f>
        <v>143323.7704592</v>
      </c>
      <c r="F12" s="335">
        <f>项目投资与资金筹措计划表!F55</f>
        <v>123215.5104592</v>
      </c>
      <c r="G12" s="335">
        <f>项目投资与资金筹措计划表!G55</f>
        <v>123215.5104592</v>
      </c>
      <c r="H12" s="335">
        <f>项目投资与资金筹措计划表!H55</f>
        <v>62890.7304592</v>
      </c>
      <c r="I12" s="335">
        <f>项目投资与资金筹措计划表!I55</f>
        <v>62890.7304592</v>
      </c>
      <c r="J12" s="335"/>
      <c r="K12" s="335"/>
      <c r="L12" s="335"/>
      <c r="M12" s="335"/>
      <c r="N12" s="335"/>
      <c r="O12" s="335"/>
      <c r="P12" s="335"/>
      <c r="Q12" s="335"/>
      <c r="R12" s="335"/>
      <c r="S12" s="335"/>
    </row>
    <row r="13" s="177" customFormat="1" ht="20.25" customHeight="1" spans="1:19">
      <c r="A13" s="321">
        <v>3</v>
      </c>
      <c r="B13" s="336" t="s">
        <v>298</v>
      </c>
      <c r="C13" s="322" t="s">
        <v>4</v>
      </c>
      <c r="D13" s="324">
        <f>SUM(E13:S13)</f>
        <v>407593.088090158</v>
      </c>
      <c r="E13" s="324">
        <f>SUM(E14:E16)</f>
        <v>6379.99481858648</v>
      </c>
      <c r="F13" s="324">
        <f t="shared" ref="F13:H13" si="32">SUM(F14:F16)</f>
        <v>18293.4831329594</v>
      </c>
      <c r="G13" s="324">
        <f t="shared" si="32"/>
        <v>29360.4701245324</v>
      </c>
      <c r="H13" s="324">
        <f t="shared" si="32"/>
        <v>37887.9531477054</v>
      </c>
      <c r="I13" s="324">
        <f t="shared" ref="I13:S13" si="33">SUM(I14:I16)</f>
        <v>42837.5626383684</v>
      </c>
      <c r="J13" s="324">
        <f t="shared" si="33"/>
        <v>46869.9217298648</v>
      </c>
      <c r="K13" s="324">
        <f t="shared" si="33"/>
        <v>43126.1204103005</v>
      </c>
      <c r="L13" s="324">
        <f t="shared" si="33"/>
        <v>39198.8728260775</v>
      </c>
      <c r="M13" s="324">
        <f t="shared" si="33"/>
        <v>35079.1901102276</v>
      </c>
      <c r="N13" s="324">
        <f t="shared" si="33"/>
        <v>30757.642941301</v>
      </c>
      <c r="O13" s="324">
        <f t="shared" si="33"/>
        <v>26224.3399610971</v>
      </c>
      <c r="P13" s="324">
        <f t="shared" si="33"/>
        <v>21468.9051348631</v>
      </c>
      <c r="Q13" s="324">
        <f t="shared" si="33"/>
        <v>16480.4540021437</v>
      </c>
      <c r="R13" s="324">
        <f t="shared" si="33"/>
        <v>9013.60067874614</v>
      </c>
      <c r="S13" s="324">
        <f t="shared" si="33"/>
        <v>4614.57643338444</v>
      </c>
    </row>
    <row r="14" s="304" customFormat="1" ht="20.25" customHeight="1" spans="1:20">
      <c r="A14" s="325"/>
      <c r="B14" s="337"/>
      <c r="C14" s="326" t="s">
        <v>13</v>
      </c>
      <c r="D14" s="328">
        <f t="shared" ref="D14:D21" si="34">SUM(E14:S14)</f>
        <v>106486.593686136</v>
      </c>
      <c r="E14" s="328">
        <f>E10/2*4.9%</f>
        <v>1525.90647468112</v>
      </c>
      <c r="F14" s="328">
        <f t="shared" ref="F14:I16" si="35">F6*4.9%+F10/2*4.9%</f>
        <v>4429.73826764336</v>
      </c>
      <c r="G14" s="328">
        <f t="shared" si="35"/>
        <v>7185.5889042056</v>
      </c>
      <c r="H14" s="328">
        <f t="shared" si="35"/>
        <v>9497.49607156784</v>
      </c>
      <c r="I14" s="328">
        <f t="shared" si="35"/>
        <v>11365.4597697301</v>
      </c>
      <c r="J14" s="328">
        <f>J6*4.9%</f>
        <v>12299.4416188112</v>
      </c>
      <c r="K14" s="328">
        <f t="shared" ref="K14:S14" si="36">K6*4.9%</f>
        <v>11317.0063156801</v>
      </c>
      <c r="L14" s="328">
        <f t="shared" si="36"/>
        <v>10286.4316826956</v>
      </c>
      <c r="M14" s="328">
        <f t="shared" si="36"/>
        <v>9205.35889269487</v>
      </c>
      <c r="N14" s="328">
        <f t="shared" si="36"/>
        <v>8071.31353598409</v>
      </c>
      <c r="O14" s="328">
        <f t="shared" si="36"/>
        <v>6881.69995679448</v>
      </c>
      <c r="P14" s="328">
        <f t="shared" si="36"/>
        <v>5633.79531222457</v>
      </c>
      <c r="Q14" s="328">
        <f t="shared" si="36"/>
        <v>4324.74334007075</v>
      </c>
      <c r="R14" s="328">
        <f t="shared" si="36"/>
        <v>2951.54782128138</v>
      </c>
      <c r="S14" s="328">
        <f t="shared" si="36"/>
        <v>1511.06572207134</v>
      </c>
      <c r="T14" s="328"/>
    </row>
    <row r="15" ht="20.25" customHeight="1" spans="1:19">
      <c r="A15" s="325"/>
      <c r="B15" s="337"/>
      <c r="C15" s="329" t="s">
        <v>14</v>
      </c>
      <c r="D15" s="331">
        <f t="shared" si="34"/>
        <v>78246.5636195901</v>
      </c>
      <c r="E15" s="331">
        <f>E11/2*4.9%</f>
        <v>1342.65596765496</v>
      </c>
      <c r="F15" s="331">
        <f>F7*4.9%+F11/2*4.9%</f>
        <v>3822.10010656488</v>
      </c>
      <c r="G15" s="331">
        <f>G7*4.9%+G11/2*4.9%</f>
        <v>6095.6764490748</v>
      </c>
      <c r="H15" s="331">
        <f t="shared" si="35"/>
        <v>7751.64940238472</v>
      </c>
      <c r="I15" s="331">
        <f>I7*4.9%+I11/2*4.9%</f>
        <v>7751.64940238472</v>
      </c>
      <c r="J15" s="331">
        <f>J7*4.9%</f>
        <v>9309.2037485496</v>
      </c>
      <c r="K15" s="331">
        <f t="shared" ref="K15:Q15" si="37">K7*4.9%</f>
        <v>8565.61792652109</v>
      </c>
      <c r="L15" s="331">
        <f t="shared" si="37"/>
        <v>7785.59639921319</v>
      </c>
      <c r="M15" s="331">
        <f t="shared" si="37"/>
        <v>6967.3538170672</v>
      </c>
      <c r="N15" s="331">
        <f t="shared" si="37"/>
        <v>6109.01734839606</v>
      </c>
      <c r="O15" s="331">
        <f t="shared" si="37"/>
        <v>5208.62239276003</v>
      </c>
      <c r="P15" s="331">
        <f t="shared" si="37"/>
        <v>4264.10808429784</v>
      </c>
      <c r="Q15" s="331">
        <f t="shared" si="37"/>
        <v>3273.312574721</v>
      </c>
      <c r="R15" s="331"/>
      <c r="S15" s="331"/>
    </row>
    <row r="16" s="305" customFormat="1" ht="20.25" customHeight="1" spans="1:20">
      <c r="A16" s="332"/>
      <c r="B16" s="338"/>
      <c r="C16" s="333" t="s">
        <v>15</v>
      </c>
      <c r="D16" s="335">
        <f t="shared" si="34"/>
        <v>222859.930784431</v>
      </c>
      <c r="E16" s="335">
        <f t="shared" ref="E16" si="38">E12/2*4.9%</f>
        <v>3511.4323762504</v>
      </c>
      <c r="F16" s="335">
        <f t="shared" si="35"/>
        <v>10041.6447587512</v>
      </c>
      <c r="G16" s="335">
        <f t="shared" si="35"/>
        <v>16079.204771252</v>
      </c>
      <c r="H16" s="335">
        <f t="shared" si="35"/>
        <v>20638.8076737528</v>
      </c>
      <c r="I16" s="335">
        <f t="shared" si="35"/>
        <v>23720.4534662536</v>
      </c>
      <c r="J16" s="335">
        <f>J8*4.9%</f>
        <v>25261.276362504</v>
      </c>
      <c r="K16" s="335">
        <f t="shared" ref="K16:S16" si="39">K8*4.9%</f>
        <v>23243.4961680993</v>
      </c>
      <c r="L16" s="335">
        <f t="shared" si="39"/>
        <v>21126.8447441687</v>
      </c>
      <c r="M16" s="335">
        <f t="shared" si="39"/>
        <v>18906.4774004655</v>
      </c>
      <c r="N16" s="335">
        <f t="shared" si="39"/>
        <v>16577.3120569209</v>
      </c>
      <c r="O16" s="335">
        <f t="shared" si="39"/>
        <v>14134.0176115426</v>
      </c>
      <c r="P16" s="335">
        <f t="shared" si="39"/>
        <v>11571.0017383407</v>
      </c>
      <c r="Q16" s="335">
        <f t="shared" si="39"/>
        <v>8882.39808735196</v>
      </c>
      <c r="R16" s="335">
        <f t="shared" si="39"/>
        <v>6062.05285746476</v>
      </c>
      <c r="S16" s="335">
        <f t="shared" si="39"/>
        <v>3103.5107113131</v>
      </c>
      <c r="T16" s="335"/>
    </row>
    <row r="17" s="177" customFormat="1" ht="20.25" customHeight="1" spans="1:19">
      <c r="A17" s="339">
        <v>4</v>
      </c>
      <c r="B17" s="340" t="s">
        <v>299</v>
      </c>
      <c r="C17" s="322" t="s">
        <v>4</v>
      </c>
      <c r="D17" s="324">
        <f t="shared" si="34"/>
        <v>1367499.76678617</v>
      </c>
      <c r="E17" s="324">
        <f t="shared" ref="E17" si="40">SUM(E21:E25)</f>
        <v>6379.99481858648</v>
      </c>
      <c r="F17" s="324">
        <f>SUM(F18:F20)</f>
        <v>18293.4831329594</v>
      </c>
      <c r="G17" s="324">
        <f t="shared" ref="G17:S17" si="41">SUM(G18:G20)</f>
        <v>29360.4701245324</v>
      </c>
      <c r="H17" s="324">
        <f t="shared" si="41"/>
        <v>37887.9531477054</v>
      </c>
      <c r="I17" s="324">
        <f t="shared" si="41"/>
        <v>42837.5626383684</v>
      </c>
      <c r="J17" s="324">
        <f t="shared" si="41"/>
        <v>123274.030292402</v>
      </c>
      <c r="K17" s="324">
        <f t="shared" si="41"/>
        <v>123274.030292402</v>
      </c>
      <c r="L17" s="324">
        <f t="shared" si="41"/>
        <v>123274.030292402</v>
      </c>
      <c r="M17" s="324">
        <f t="shared" si="41"/>
        <v>123274.030292402</v>
      </c>
      <c r="N17" s="324">
        <f t="shared" si="41"/>
        <v>123274.030292402</v>
      </c>
      <c r="O17" s="324">
        <f t="shared" si="41"/>
        <v>123274.030292402</v>
      </c>
      <c r="P17" s="324">
        <f t="shared" si="41"/>
        <v>123274.030292402</v>
      </c>
      <c r="Q17" s="324">
        <f t="shared" si="41"/>
        <v>123274.030292402</v>
      </c>
      <c r="R17" s="324">
        <f t="shared" si="41"/>
        <v>123274.030292402</v>
      </c>
      <c r="S17" s="324">
        <f t="shared" si="41"/>
        <v>123274.030292402</v>
      </c>
    </row>
    <row r="18" s="304" customFormat="1" ht="20.25" customHeight="1" spans="1:19">
      <c r="A18" s="341"/>
      <c r="B18" s="342"/>
      <c r="C18" s="326" t="s">
        <v>13</v>
      </c>
      <c r="D18" s="328">
        <f t="shared" si="34"/>
        <v>357495.606314936</v>
      </c>
      <c r="E18" s="328">
        <f>E22+E26</f>
        <v>1525.90647468112</v>
      </c>
      <c r="F18" s="328">
        <f t="shared" ref="F18:I18" si="42">F22+F26</f>
        <v>4429.73826764336</v>
      </c>
      <c r="G18" s="328">
        <f t="shared" si="42"/>
        <v>7185.5889042056</v>
      </c>
      <c r="H18" s="328">
        <f t="shared" si="42"/>
        <v>9497.49607156784</v>
      </c>
      <c r="I18" s="328">
        <f t="shared" si="42"/>
        <v>11365.4597697301</v>
      </c>
      <c r="J18" s="328">
        <f>-PMT(4.9%,10,$J$6)</f>
        <v>32349.1416827108</v>
      </c>
      <c r="K18" s="328">
        <f>J18</f>
        <v>32349.1416827108</v>
      </c>
      <c r="L18" s="328">
        <f t="shared" ref="L18:S18" si="43">K18</f>
        <v>32349.1416827108</v>
      </c>
      <c r="M18" s="328">
        <f t="shared" si="43"/>
        <v>32349.1416827108</v>
      </c>
      <c r="N18" s="328">
        <f t="shared" si="43"/>
        <v>32349.1416827108</v>
      </c>
      <c r="O18" s="328">
        <f t="shared" si="43"/>
        <v>32349.1416827108</v>
      </c>
      <c r="P18" s="328">
        <f t="shared" si="43"/>
        <v>32349.1416827108</v>
      </c>
      <c r="Q18" s="328">
        <f t="shared" si="43"/>
        <v>32349.1416827108</v>
      </c>
      <c r="R18" s="328">
        <f t="shared" si="43"/>
        <v>32349.1416827108</v>
      </c>
      <c r="S18" s="328">
        <f t="shared" si="43"/>
        <v>32349.1416827108</v>
      </c>
    </row>
    <row r="19" ht="20.25" customHeight="1" spans="1:19">
      <c r="A19" s="341"/>
      <c r="B19" s="342"/>
      <c r="C19" s="329" t="s">
        <v>14</v>
      </c>
      <c r="D19" s="331">
        <f t="shared" si="34"/>
        <v>271607.977390806</v>
      </c>
      <c r="E19" s="331">
        <f>E23+E27</f>
        <v>1342.65596765496</v>
      </c>
      <c r="F19" s="331">
        <f t="shared" ref="F19:I19" si="44">F23+F27</f>
        <v>3822.10010656488</v>
      </c>
      <c r="G19" s="331">
        <f t="shared" si="44"/>
        <v>6095.6764490748</v>
      </c>
      <c r="H19" s="331">
        <f t="shared" si="44"/>
        <v>7751.64940238472</v>
      </c>
      <c r="I19" s="331">
        <f t="shared" si="44"/>
        <v>7751.64940238472</v>
      </c>
      <c r="J19" s="331">
        <f>-PMT(4.9%,10,J7)</f>
        <v>24484.4246062742</v>
      </c>
      <c r="K19" s="331">
        <f>J19</f>
        <v>24484.4246062742</v>
      </c>
      <c r="L19" s="331">
        <f t="shared" ref="L19:S19" si="45">K19</f>
        <v>24484.4246062742</v>
      </c>
      <c r="M19" s="331">
        <f t="shared" si="45"/>
        <v>24484.4246062742</v>
      </c>
      <c r="N19" s="331">
        <f t="shared" si="45"/>
        <v>24484.4246062742</v>
      </c>
      <c r="O19" s="331">
        <f t="shared" si="45"/>
        <v>24484.4246062742</v>
      </c>
      <c r="P19" s="331">
        <f t="shared" si="45"/>
        <v>24484.4246062742</v>
      </c>
      <c r="Q19" s="331">
        <f t="shared" si="45"/>
        <v>24484.4246062742</v>
      </c>
      <c r="R19" s="331">
        <f t="shared" si="45"/>
        <v>24484.4246062742</v>
      </c>
      <c r="S19" s="331">
        <f t="shared" si="45"/>
        <v>24484.4246062742</v>
      </c>
    </row>
    <row r="20" s="305" customFormat="1" ht="20.25" customHeight="1" spans="1:19">
      <c r="A20" s="343"/>
      <c r="B20" s="344"/>
      <c r="C20" s="333" t="s">
        <v>15</v>
      </c>
      <c r="D20" s="335">
        <f t="shared" si="34"/>
        <v>738396.183080432</v>
      </c>
      <c r="E20" s="335">
        <f>E24+E28</f>
        <v>3511.4323762504</v>
      </c>
      <c r="F20" s="335">
        <f t="shared" ref="F20:I20" si="46">F24+F28</f>
        <v>10041.6447587512</v>
      </c>
      <c r="G20" s="335">
        <f t="shared" si="46"/>
        <v>16079.204771252</v>
      </c>
      <c r="H20" s="335">
        <f t="shared" si="46"/>
        <v>20638.8076737528</v>
      </c>
      <c r="I20" s="335">
        <f t="shared" si="46"/>
        <v>23720.4534662536</v>
      </c>
      <c r="J20" s="335">
        <f>-PMT(4.9%,10,J8)</f>
        <v>66440.4640034171</v>
      </c>
      <c r="K20" s="335">
        <f>J20</f>
        <v>66440.4640034171</v>
      </c>
      <c r="L20" s="335">
        <f t="shared" ref="L20:S20" si="47">K20</f>
        <v>66440.4640034171</v>
      </c>
      <c r="M20" s="335">
        <f t="shared" si="47"/>
        <v>66440.4640034171</v>
      </c>
      <c r="N20" s="335">
        <f t="shared" si="47"/>
        <v>66440.4640034171</v>
      </c>
      <c r="O20" s="335">
        <f t="shared" si="47"/>
        <v>66440.4640034171</v>
      </c>
      <c r="P20" s="335">
        <f t="shared" si="47"/>
        <v>66440.4640034171</v>
      </c>
      <c r="Q20" s="335">
        <f t="shared" si="47"/>
        <v>66440.4640034171</v>
      </c>
      <c r="R20" s="335">
        <f t="shared" si="47"/>
        <v>66440.4640034171</v>
      </c>
      <c r="S20" s="335">
        <f t="shared" si="47"/>
        <v>66440.4640034171</v>
      </c>
    </row>
    <row r="21" s="177" customFormat="1" ht="20.25" customHeight="1" spans="1:19">
      <c r="A21" s="321">
        <v>4.1</v>
      </c>
      <c r="B21" s="321" t="s">
        <v>300</v>
      </c>
      <c r="C21" s="322" t="s">
        <v>4</v>
      </c>
      <c r="D21" s="324">
        <f t="shared" si="34"/>
        <v>956529.0148952</v>
      </c>
      <c r="E21" s="324">
        <f>SUM(E22:E24)</f>
        <v>0</v>
      </c>
      <c r="F21" s="324">
        <f t="shared" ref="F21:H21" si="48">SUM(F22:F24)</f>
        <v>0</v>
      </c>
      <c r="G21" s="324">
        <f t="shared" si="48"/>
        <v>0</v>
      </c>
      <c r="H21" s="324">
        <f t="shared" si="48"/>
        <v>0</v>
      </c>
      <c r="I21" s="324">
        <f t="shared" ref="I21:S21" si="49">SUM(I22:I24)</f>
        <v>0</v>
      </c>
      <c r="J21" s="324">
        <f t="shared" si="49"/>
        <v>76404.1085625374</v>
      </c>
      <c r="K21" s="324">
        <f t="shared" si="49"/>
        <v>80147.9098821017</v>
      </c>
      <c r="L21" s="324">
        <f t="shared" si="49"/>
        <v>84075.1574663247</v>
      </c>
      <c r="M21" s="324">
        <f t="shared" si="49"/>
        <v>88194.8401821746</v>
      </c>
      <c r="N21" s="324">
        <f t="shared" si="49"/>
        <v>92516.3873511011</v>
      </c>
      <c r="O21" s="324">
        <f t="shared" si="49"/>
        <v>97049.6903313051</v>
      </c>
      <c r="P21" s="324">
        <f t="shared" si="49"/>
        <v>101805.125157539</v>
      </c>
      <c r="Q21" s="324">
        <f t="shared" si="49"/>
        <v>106793.576290258</v>
      </c>
      <c r="R21" s="324">
        <f t="shared" si="49"/>
        <v>112026.461528481</v>
      </c>
      <c r="S21" s="324">
        <f t="shared" si="49"/>
        <v>117515.758143377</v>
      </c>
    </row>
    <row r="22" s="304" customFormat="1" ht="20.25" customHeight="1" spans="1:20">
      <c r="A22" s="325"/>
      <c r="B22" s="325"/>
      <c r="C22" s="326" t="s">
        <v>13</v>
      </c>
      <c r="D22" s="328">
        <f t="shared" ref="D22:D25" si="50">SUM(E22:S22)</f>
        <v>251009.0126288</v>
      </c>
      <c r="E22" s="328"/>
      <c r="F22" s="328"/>
      <c r="G22" s="328"/>
      <c r="H22" s="328"/>
      <c r="I22" s="328"/>
      <c r="J22" s="328">
        <f>J18-J26</f>
        <v>20049.7000638996</v>
      </c>
      <c r="K22" s="328">
        <f t="shared" ref="K22:S22" si="51">K18-K26</f>
        <v>21032.1353670307</v>
      </c>
      <c r="L22" s="328">
        <f t="shared" si="51"/>
        <v>22062.7100000152</v>
      </c>
      <c r="M22" s="328">
        <f t="shared" si="51"/>
        <v>23143.782790016</v>
      </c>
      <c r="N22" s="328">
        <f t="shared" si="51"/>
        <v>24277.8281467268</v>
      </c>
      <c r="O22" s="328">
        <f t="shared" si="51"/>
        <v>25467.4417259164</v>
      </c>
      <c r="P22" s="328">
        <f t="shared" si="51"/>
        <v>26715.3463704863</v>
      </c>
      <c r="Q22" s="328">
        <f t="shared" si="51"/>
        <v>28024.3983426401</v>
      </c>
      <c r="R22" s="328">
        <f t="shared" si="51"/>
        <v>29397.5938614295</v>
      </c>
      <c r="S22" s="328">
        <f t="shared" si="51"/>
        <v>30838.0759606395</v>
      </c>
      <c r="T22" s="306"/>
    </row>
    <row r="23" ht="20.25" customHeight="1" spans="1:20">
      <c r="A23" s="325"/>
      <c r="B23" s="325"/>
      <c r="C23" s="329" t="s">
        <v>14</v>
      </c>
      <c r="D23" s="331">
        <f t="shared" si="50"/>
        <v>189983.7499704</v>
      </c>
      <c r="E23" s="331"/>
      <c r="F23" s="331"/>
      <c r="G23" s="331"/>
      <c r="H23" s="331"/>
      <c r="I23" s="331"/>
      <c r="J23" s="331">
        <f>J19-J27</f>
        <v>15175.2208577246</v>
      </c>
      <c r="K23" s="331">
        <f t="shared" ref="K23:S23" si="52">K19-K27</f>
        <v>15918.8066797531</v>
      </c>
      <c r="L23" s="331">
        <f t="shared" si="52"/>
        <v>16698.828207061</v>
      </c>
      <c r="M23" s="331">
        <f t="shared" si="52"/>
        <v>17517.070789207</v>
      </c>
      <c r="N23" s="331">
        <f t="shared" si="52"/>
        <v>18375.4072578781</v>
      </c>
      <c r="O23" s="331">
        <f t="shared" si="52"/>
        <v>19275.8022135142</v>
      </c>
      <c r="P23" s="331">
        <f t="shared" si="52"/>
        <v>20220.3165219763</v>
      </c>
      <c r="Q23" s="331">
        <f t="shared" si="52"/>
        <v>21211.1120315532</v>
      </c>
      <c r="R23" s="331">
        <f t="shared" si="52"/>
        <v>22250.4565210993</v>
      </c>
      <c r="S23" s="331">
        <f t="shared" si="52"/>
        <v>23340.7288906332</v>
      </c>
      <c r="T23" s="307"/>
    </row>
    <row r="24" s="305" customFormat="1" ht="20.25" customHeight="1" spans="1:20">
      <c r="A24" s="332"/>
      <c r="B24" s="332"/>
      <c r="C24" s="333" t="s">
        <v>15</v>
      </c>
      <c r="D24" s="335">
        <f t="shared" si="50"/>
        <v>515536.252296</v>
      </c>
      <c r="E24" s="335"/>
      <c r="F24" s="335"/>
      <c r="G24" s="335"/>
      <c r="H24" s="335"/>
      <c r="I24" s="335"/>
      <c r="J24" s="335">
        <f>J20-J28</f>
        <v>41179.1876409131</v>
      </c>
      <c r="K24" s="335">
        <f t="shared" ref="K24:S24" si="53">K20-K28</f>
        <v>43196.9678353179</v>
      </c>
      <c r="L24" s="335">
        <f t="shared" si="53"/>
        <v>45313.6192592485</v>
      </c>
      <c r="M24" s="335">
        <f t="shared" si="53"/>
        <v>47533.9866029516</v>
      </c>
      <c r="N24" s="335">
        <f t="shared" si="53"/>
        <v>49863.1519464963</v>
      </c>
      <c r="O24" s="335">
        <f t="shared" si="53"/>
        <v>52306.4463918746</v>
      </c>
      <c r="P24" s="335">
        <f t="shared" si="53"/>
        <v>54869.4622650764</v>
      </c>
      <c r="Q24" s="335">
        <f t="shared" si="53"/>
        <v>57558.0659160652</v>
      </c>
      <c r="R24" s="335">
        <f t="shared" si="53"/>
        <v>60378.4111459524</v>
      </c>
      <c r="S24" s="335">
        <f t="shared" si="53"/>
        <v>63336.9532921041</v>
      </c>
      <c r="T24" s="308"/>
    </row>
    <row r="25" s="177" customFormat="1" ht="20.25" customHeight="1" spans="1:19">
      <c r="A25" s="321">
        <v>4.2</v>
      </c>
      <c r="B25" s="321" t="s">
        <v>301</v>
      </c>
      <c r="C25" s="322" t="s">
        <v>4</v>
      </c>
      <c r="D25" s="324">
        <f t="shared" si="50"/>
        <v>410970.751890974</v>
      </c>
      <c r="E25" s="324">
        <f>SUM(E26:E28)</f>
        <v>6379.99481858648</v>
      </c>
      <c r="F25" s="324">
        <f t="shared" ref="F25:S25" si="54">SUM(F26:F28)</f>
        <v>18293.4831329594</v>
      </c>
      <c r="G25" s="324">
        <f t="shared" si="54"/>
        <v>29360.4701245324</v>
      </c>
      <c r="H25" s="324">
        <f t="shared" si="54"/>
        <v>37887.9531477054</v>
      </c>
      <c r="I25" s="324">
        <f t="shared" si="54"/>
        <v>42837.5626383684</v>
      </c>
      <c r="J25" s="324">
        <f t="shared" si="54"/>
        <v>46869.9217298648</v>
      </c>
      <c r="K25" s="324">
        <f t="shared" si="54"/>
        <v>43126.1204103005</v>
      </c>
      <c r="L25" s="324">
        <f t="shared" si="54"/>
        <v>39198.8728260775</v>
      </c>
      <c r="M25" s="324">
        <f t="shared" si="54"/>
        <v>35079.1901102276</v>
      </c>
      <c r="N25" s="324">
        <f t="shared" si="54"/>
        <v>30757.642941301</v>
      </c>
      <c r="O25" s="324">
        <f t="shared" si="54"/>
        <v>26224.3399610971</v>
      </c>
      <c r="P25" s="324">
        <f t="shared" si="54"/>
        <v>21468.9051348631</v>
      </c>
      <c r="Q25" s="324">
        <f t="shared" si="54"/>
        <v>16480.4540021437</v>
      </c>
      <c r="R25" s="324">
        <f t="shared" si="54"/>
        <v>11247.568763921</v>
      </c>
      <c r="S25" s="324">
        <f t="shared" si="54"/>
        <v>5758.27214902546</v>
      </c>
    </row>
    <row r="26" s="304" customFormat="1" ht="20.25" customHeight="1" spans="1:19">
      <c r="A26" s="325"/>
      <c r="B26" s="325"/>
      <c r="C26" s="326" t="s">
        <v>13</v>
      </c>
      <c r="D26" s="328">
        <f t="shared" ref="D26:D28" si="55">SUM(E26:S26)</f>
        <v>106486.593686136</v>
      </c>
      <c r="E26" s="328">
        <f t="shared" ref="E26:I28" si="56">E14</f>
        <v>1525.90647468112</v>
      </c>
      <c r="F26" s="328">
        <f t="shared" si="56"/>
        <v>4429.73826764336</v>
      </c>
      <c r="G26" s="328">
        <f t="shared" si="56"/>
        <v>7185.5889042056</v>
      </c>
      <c r="H26" s="328">
        <f t="shared" si="56"/>
        <v>9497.49607156784</v>
      </c>
      <c r="I26" s="328">
        <f t="shared" si="56"/>
        <v>11365.4597697301</v>
      </c>
      <c r="J26" s="328">
        <f>J6*4.9%</f>
        <v>12299.4416188112</v>
      </c>
      <c r="K26" s="328">
        <f>K6*4.9%</f>
        <v>11317.0063156801</v>
      </c>
      <c r="L26" s="328">
        <f>L6*4.9%</f>
        <v>10286.4316826956</v>
      </c>
      <c r="M26" s="328">
        <f t="shared" ref="J26:S27" si="57">M6*4.9%</f>
        <v>9205.35889269487</v>
      </c>
      <c r="N26" s="328">
        <f t="shared" si="57"/>
        <v>8071.31353598409</v>
      </c>
      <c r="O26" s="328">
        <f t="shared" si="57"/>
        <v>6881.69995679448</v>
      </c>
      <c r="P26" s="328">
        <f t="shared" si="57"/>
        <v>5633.79531222457</v>
      </c>
      <c r="Q26" s="328">
        <f t="shared" si="57"/>
        <v>4324.74334007075</v>
      </c>
      <c r="R26" s="328">
        <f t="shared" si="57"/>
        <v>2951.54782128138</v>
      </c>
      <c r="S26" s="328">
        <f t="shared" si="57"/>
        <v>1511.06572207134</v>
      </c>
    </row>
    <row r="27" ht="20.25" customHeight="1" spans="1:19">
      <c r="A27" s="325"/>
      <c r="B27" s="325"/>
      <c r="C27" s="329" t="s">
        <v>14</v>
      </c>
      <c r="D27" s="331">
        <f t="shared" si="55"/>
        <v>81624.227420406</v>
      </c>
      <c r="E27" s="331">
        <f t="shared" si="56"/>
        <v>1342.65596765496</v>
      </c>
      <c r="F27" s="331">
        <f t="shared" si="56"/>
        <v>3822.10010656488</v>
      </c>
      <c r="G27" s="331">
        <f t="shared" si="56"/>
        <v>6095.6764490748</v>
      </c>
      <c r="H27" s="331">
        <f t="shared" si="56"/>
        <v>7751.64940238472</v>
      </c>
      <c r="I27" s="331">
        <f t="shared" si="56"/>
        <v>7751.64940238472</v>
      </c>
      <c r="J27" s="331">
        <f t="shared" si="57"/>
        <v>9309.2037485496</v>
      </c>
      <c r="K27" s="331">
        <f t="shared" si="57"/>
        <v>8565.61792652109</v>
      </c>
      <c r="L27" s="331">
        <f t="shared" si="57"/>
        <v>7785.59639921319</v>
      </c>
      <c r="M27" s="331">
        <f t="shared" si="57"/>
        <v>6967.3538170672</v>
      </c>
      <c r="N27" s="331">
        <f t="shared" si="57"/>
        <v>6109.01734839606</v>
      </c>
      <c r="O27" s="331">
        <f t="shared" si="57"/>
        <v>5208.62239276003</v>
      </c>
      <c r="P27" s="331">
        <f t="shared" si="57"/>
        <v>4264.10808429784</v>
      </c>
      <c r="Q27" s="331">
        <f t="shared" si="57"/>
        <v>3273.312574721</v>
      </c>
      <c r="R27" s="331">
        <f t="shared" si="57"/>
        <v>2233.96808517489</v>
      </c>
      <c r="S27" s="331">
        <f t="shared" si="57"/>
        <v>1143.69571564103</v>
      </c>
    </row>
    <row r="28" s="305" customFormat="1" ht="20.25" customHeight="1" spans="1:19">
      <c r="A28" s="332"/>
      <c r="B28" s="332"/>
      <c r="C28" s="333" t="s">
        <v>15</v>
      </c>
      <c r="D28" s="335">
        <f t="shared" si="55"/>
        <v>222859.930784431</v>
      </c>
      <c r="E28" s="335">
        <f t="shared" si="56"/>
        <v>3511.4323762504</v>
      </c>
      <c r="F28" s="335">
        <f t="shared" si="56"/>
        <v>10041.6447587512</v>
      </c>
      <c r="G28" s="335">
        <f t="shared" si="56"/>
        <v>16079.204771252</v>
      </c>
      <c r="H28" s="335">
        <f t="shared" si="56"/>
        <v>20638.8076737528</v>
      </c>
      <c r="I28" s="335">
        <f t="shared" si="56"/>
        <v>23720.4534662536</v>
      </c>
      <c r="J28" s="335">
        <f t="shared" ref="J28:S28" si="58">J8*4.9%</f>
        <v>25261.276362504</v>
      </c>
      <c r="K28" s="335">
        <f t="shared" si="58"/>
        <v>23243.4961680993</v>
      </c>
      <c r="L28" s="335">
        <f t="shared" si="58"/>
        <v>21126.8447441687</v>
      </c>
      <c r="M28" s="335">
        <f t="shared" si="58"/>
        <v>18906.4774004655</v>
      </c>
      <c r="N28" s="335">
        <f t="shared" si="58"/>
        <v>16577.3120569209</v>
      </c>
      <c r="O28" s="335">
        <f t="shared" si="58"/>
        <v>14134.0176115426</v>
      </c>
      <c r="P28" s="335">
        <f t="shared" si="58"/>
        <v>11571.0017383407</v>
      </c>
      <c r="Q28" s="335">
        <f t="shared" si="58"/>
        <v>8882.39808735196</v>
      </c>
      <c r="R28" s="335">
        <f t="shared" si="58"/>
        <v>6062.05285746476</v>
      </c>
      <c r="S28" s="335">
        <f t="shared" si="58"/>
        <v>3103.5107113131</v>
      </c>
    </row>
    <row r="29" s="177" customFormat="1" ht="20.25" customHeight="1" spans="1:19">
      <c r="A29" s="321">
        <v>5</v>
      </c>
      <c r="B29" s="321" t="s">
        <v>28</v>
      </c>
      <c r="C29" s="322" t="s">
        <v>4</v>
      </c>
      <c r="D29" s="324">
        <f t="shared" ref="D29:D35" si="59">SUM(E29:I29)</f>
        <v>134759.463862152</v>
      </c>
      <c r="E29" s="324">
        <f>SUM(E30:E32)</f>
        <v>6379.99481858648</v>
      </c>
      <c r="F29" s="324">
        <f t="shared" ref="F29:I29" si="60">SUM(F30:F32)</f>
        <v>18293.4831329594</v>
      </c>
      <c r="G29" s="324">
        <f t="shared" si="60"/>
        <v>29360.4701245324</v>
      </c>
      <c r="H29" s="324">
        <f t="shared" si="60"/>
        <v>37887.9531477054</v>
      </c>
      <c r="I29" s="324">
        <f t="shared" si="60"/>
        <v>42837.5626383684</v>
      </c>
      <c r="J29" s="324"/>
      <c r="K29" s="324"/>
      <c r="L29" s="324"/>
      <c r="M29" s="324"/>
      <c r="N29" s="324"/>
      <c r="O29" s="324"/>
      <c r="P29" s="324"/>
      <c r="Q29" s="324"/>
      <c r="R29" s="324"/>
      <c r="S29" s="324"/>
    </row>
    <row r="30" s="304" customFormat="1" ht="20.25" customHeight="1" spans="1:19">
      <c r="A30" s="325"/>
      <c r="B30" s="325"/>
      <c r="C30" s="326" t="s">
        <v>13</v>
      </c>
      <c r="D30" s="328">
        <f t="shared" si="59"/>
        <v>34004.189487828</v>
      </c>
      <c r="E30" s="328">
        <f t="shared" ref="E30:I32" si="61">E26</f>
        <v>1525.90647468112</v>
      </c>
      <c r="F30" s="328">
        <f t="shared" si="61"/>
        <v>4429.73826764336</v>
      </c>
      <c r="G30" s="328">
        <f t="shared" si="61"/>
        <v>7185.5889042056</v>
      </c>
      <c r="H30" s="328">
        <f t="shared" si="61"/>
        <v>9497.49607156784</v>
      </c>
      <c r="I30" s="328">
        <f t="shared" si="61"/>
        <v>11365.4597697301</v>
      </c>
      <c r="J30" s="328"/>
      <c r="K30" s="328"/>
      <c r="L30" s="328"/>
      <c r="M30" s="328"/>
      <c r="N30" s="328"/>
      <c r="O30" s="328"/>
      <c r="P30" s="328"/>
      <c r="Q30" s="328"/>
      <c r="R30" s="328"/>
      <c r="S30" s="328"/>
    </row>
    <row r="31" ht="20.25" customHeight="1" spans="1:19">
      <c r="A31" s="325"/>
      <c r="B31" s="325"/>
      <c r="C31" s="329" t="s">
        <v>14</v>
      </c>
      <c r="D31" s="331">
        <f t="shared" si="59"/>
        <v>26763.7313280641</v>
      </c>
      <c r="E31" s="331">
        <f t="shared" si="61"/>
        <v>1342.65596765496</v>
      </c>
      <c r="F31" s="331">
        <f t="shared" si="61"/>
        <v>3822.10010656488</v>
      </c>
      <c r="G31" s="331">
        <f t="shared" si="61"/>
        <v>6095.6764490748</v>
      </c>
      <c r="H31" s="331">
        <f t="shared" si="61"/>
        <v>7751.64940238472</v>
      </c>
      <c r="I31" s="331">
        <f t="shared" si="61"/>
        <v>7751.64940238472</v>
      </c>
      <c r="J31" s="331"/>
      <c r="K31" s="331"/>
      <c r="L31" s="331"/>
      <c r="M31" s="331"/>
      <c r="N31" s="331"/>
      <c r="O31" s="331"/>
      <c r="P31" s="331"/>
      <c r="Q31" s="331"/>
      <c r="R31" s="331"/>
      <c r="S31" s="331"/>
    </row>
    <row r="32" s="305" customFormat="1" ht="20.25" customHeight="1" spans="1:19">
      <c r="A32" s="332"/>
      <c r="B32" s="332"/>
      <c r="C32" s="333" t="s">
        <v>15</v>
      </c>
      <c r="D32" s="335">
        <f t="shared" si="59"/>
        <v>73991.54304626</v>
      </c>
      <c r="E32" s="335">
        <f t="shared" si="61"/>
        <v>3511.4323762504</v>
      </c>
      <c r="F32" s="335">
        <f t="shared" si="61"/>
        <v>10041.6447587512</v>
      </c>
      <c r="G32" s="335">
        <f t="shared" si="61"/>
        <v>16079.204771252</v>
      </c>
      <c r="H32" s="335">
        <f t="shared" si="61"/>
        <v>20638.8076737528</v>
      </c>
      <c r="I32" s="335">
        <f t="shared" si="61"/>
        <v>23720.4534662536</v>
      </c>
      <c r="J32" s="335"/>
      <c r="K32" s="335"/>
      <c r="L32" s="335"/>
      <c r="M32" s="335"/>
      <c r="N32" s="335"/>
      <c r="O32" s="335"/>
      <c r="P32" s="335"/>
      <c r="Q32" s="335"/>
      <c r="R32" s="335"/>
      <c r="S32" s="335"/>
    </row>
    <row r="33" s="177" customFormat="1" ht="20.25" customHeight="1" spans="1:19">
      <c r="A33" s="321">
        <v>6</v>
      </c>
      <c r="B33" s="345" t="s">
        <v>302</v>
      </c>
      <c r="C33" s="322" t="s">
        <v>4</v>
      </c>
      <c r="D33" s="324">
        <f t="shared" si="59"/>
        <v>134759.463862152</v>
      </c>
      <c r="E33" s="324">
        <f>SUM(E37:E37)</f>
        <v>6379.99481858648</v>
      </c>
      <c r="F33" s="324">
        <f>SUM(F37:F37)</f>
        <v>18293.4831329594</v>
      </c>
      <c r="G33" s="324">
        <f>SUM(G37:G37)</f>
        <v>29360.4701245324</v>
      </c>
      <c r="H33" s="324">
        <f>SUM(H37:H37)</f>
        <v>37887.9531477054</v>
      </c>
      <c r="I33" s="324">
        <f>SUM(I37:I37)</f>
        <v>42837.5626383684</v>
      </c>
      <c r="J33" s="324"/>
      <c r="K33" s="324"/>
      <c r="L33" s="324"/>
      <c r="M33" s="324"/>
      <c r="N33" s="324"/>
      <c r="O33" s="324"/>
      <c r="P33" s="324"/>
      <c r="Q33" s="324"/>
      <c r="R33" s="324"/>
      <c r="S33" s="324"/>
    </row>
    <row r="34" s="304" customFormat="1" ht="20.25" customHeight="1" spans="1:19">
      <c r="A34" s="325"/>
      <c r="B34" s="346"/>
      <c r="C34" s="326" t="s">
        <v>13</v>
      </c>
      <c r="D34" s="328">
        <f t="shared" si="59"/>
        <v>34004.189487828</v>
      </c>
      <c r="E34" s="328">
        <f t="shared" ref="E34:I36" si="62">SUM(E38:E38)</f>
        <v>1525.90647468112</v>
      </c>
      <c r="F34" s="328">
        <f t="shared" si="62"/>
        <v>4429.73826764336</v>
      </c>
      <c r="G34" s="328">
        <f t="shared" si="62"/>
        <v>7185.5889042056</v>
      </c>
      <c r="H34" s="328">
        <f t="shared" si="62"/>
        <v>9497.49607156784</v>
      </c>
      <c r="I34" s="328">
        <f t="shared" si="62"/>
        <v>11365.4597697301</v>
      </c>
      <c r="J34" s="328"/>
      <c r="K34" s="328"/>
      <c r="L34" s="328"/>
      <c r="M34" s="328"/>
      <c r="N34" s="328"/>
      <c r="O34" s="328"/>
      <c r="P34" s="328"/>
      <c r="Q34" s="328"/>
      <c r="R34" s="328"/>
      <c r="S34" s="328"/>
    </row>
    <row r="35" ht="20.25" customHeight="1" spans="1:19">
      <c r="A35" s="325"/>
      <c r="B35" s="346"/>
      <c r="C35" s="329" t="s">
        <v>14</v>
      </c>
      <c r="D35" s="331">
        <f t="shared" si="59"/>
        <v>26763.7313280641</v>
      </c>
      <c r="E35" s="331">
        <f t="shared" si="62"/>
        <v>1342.65596765496</v>
      </c>
      <c r="F35" s="331">
        <f t="shared" si="62"/>
        <v>3822.10010656488</v>
      </c>
      <c r="G35" s="331">
        <f>SUM(G39:G39)</f>
        <v>6095.6764490748</v>
      </c>
      <c r="H35" s="331">
        <f t="shared" si="62"/>
        <v>7751.64940238472</v>
      </c>
      <c r="I35" s="331">
        <f t="shared" si="62"/>
        <v>7751.64940238472</v>
      </c>
      <c r="J35" s="331"/>
      <c r="K35" s="331"/>
      <c r="L35" s="331"/>
      <c r="M35" s="331"/>
      <c r="N35" s="331"/>
      <c r="O35" s="331"/>
      <c r="P35" s="331"/>
      <c r="Q35" s="331"/>
      <c r="R35" s="331"/>
      <c r="S35" s="331"/>
    </row>
    <row r="36" s="305" customFormat="1" ht="20.25" customHeight="1" spans="1:19">
      <c r="A36" s="332"/>
      <c r="B36" s="347"/>
      <c r="C36" s="333" t="s">
        <v>15</v>
      </c>
      <c r="D36" s="335">
        <f t="shared" ref="D36:D40" si="63">SUM(E36:I36)</f>
        <v>73991.54304626</v>
      </c>
      <c r="E36" s="335">
        <f t="shared" si="62"/>
        <v>3511.4323762504</v>
      </c>
      <c r="F36" s="335">
        <f t="shared" si="62"/>
        <v>10041.6447587512</v>
      </c>
      <c r="G36" s="335">
        <f t="shared" si="62"/>
        <v>16079.204771252</v>
      </c>
      <c r="H36" s="335">
        <f t="shared" si="62"/>
        <v>20638.8076737528</v>
      </c>
      <c r="I36" s="335">
        <f t="shared" si="62"/>
        <v>23720.4534662536</v>
      </c>
      <c r="J36" s="335"/>
      <c r="K36" s="335"/>
      <c r="L36" s="335"/>
      <c r="M36" s="335"/>
      <c r="N36" s="335"/>
      <c r="O36" s="335"/>
      <c r="P36" s="335"/>
      <c r="Q36" s="335"/>
      <c r="R36" s="335"/>
      <c r="S36" s="335"/>
    </row>
    <row r="37" s="177" customFormat="1" ht="20.25" customHeight="1" spans="1:19">
      <c r="A37" s="348">
        <v>6.1</v>
      </c>
      <c r="B37" s="345" t="s">
        <v>303</v>
      </c>
      <c r="C37" s="322" t="s">
        <v>4</v>
      </c>
      <c r="D37" s="324">
        <f t="shared" si="63"/>
        <v>134759.463862152</v>
      </c>
      <c r="E37" s="349">
        <f>SUM(E38:E40)</f>
        <v>6379.99481858648</v>
      </c>
      <c r="F37" s="349">
        <f t="shared" ref="F37:J37" si="64">SUM(F38:F40)</f>
        <v>18293.4831329594</v>
      </c>
      <c r="G37" s="349">
        <f t="shared" si="64"/>
        <v>29360.4701245324</v>
      </c>
      <c r="H37" s="349">
        <f t="shared" si="64"/>
        <v>37887.9531477054</v>
      </c>
      <c r="I37" s="349">
        <f t="shared" si="64"/>
        <v>42837.5626383684</v>
      </c>
      <c r="J37" s="349">
        <f t="shared" si="64"/>
        <v>0</v>
      </c>
      <c r="K37" s="349">
        <f t="shared" ref="K37" si="65">SUM(K38:K40)</f>
        <v>0</v>
      </c>
      <c r="L37" s="349">
        <f t="shared" ref="L37" si="66">SUM(L38:L40)</f>
        <v>0</v>
      </c>
      <c r="M37" s="349">
        <f t="shared" ref="M37" si="67">SUM(M38:M40)</f>
        <v>0</v>
      </c>
      <c r="N37" s="349">
        <f t="shared" ref="N37:O37" si="68">SUM(N38:N40)</f>
        <v>0</v>
      </c>
      <c r="O37" s="349">
        <f t="shared" si="68"/>
        <v>0</v>
      </c>
      <c r="P37" s="349">
        <f t="shared" ref="P37" si="69">SUM(P38:P40)</f>
        <v>0</v>
      </c>
      <c r="Q37" s="349">
        <f t="shared" ref="Q37" si="70">SUM(Q38:Q40)</f>
        <v>0</v>
      </c>
      <c r="R37" s="349">
        <f t="shared" ref="R37" si="71">SUM(R38:R40)</f>
        <v>0</v>
      </c>
      <c r="S37" s="349">
        <f t="shared" ref="S37" si="72">SUM(S38:S40)</f>
        <v>0</v>
      </c>
    </row>
    <row r="38" s="304" customFormat="1" ht="20.25" customHeight="1" spans="1:19">
      <c r="A38" s="350"/>
      <c r="B38" s="346"/>
      <c r="C38" s="326" t="s">
        <v>13</v>
      </c>
      <c r="D38" s="328">
        <f t="shared" si="63"/>
        <v>34004.189487828</v>
      </c>
      <c r="E38" s="351">
        <f t="shared" ref="E38:I38" si="73">E30</f>
        <v>1525.90647468112</v>
      </c>
      <c r="F38" s="351">
        <f t="shared" si="73"/>
        <v>4429.73826764336</v>
      </c>
      <c r="G38" s="351">
        <f t="shared" si="73"/>
        <v>7185.5889042056</v>
      </c>
      <c r="H38" s="351">
        <f t="shared" si="73"/>
        <v>9497.49607156784</v>
      </c>
      <c r="I38" s="351">
        <f t="shared" si="73"/>
        <v>11365.4597697301</v>
      </c>
      <c r="J38" s="351"/>
      <c r="K38" s="351"/>
      <c r="L38" s="351"/>
      <c r="M38" s="351"/>
      <c r="N38" s="351"/>
      <c r="O38" s="351"/>
      <c r="P38" s="351"/>
      <c r="Q38" s="351"/>
      <c r="R38" s="351"/>
      <c r="S38" s="351"/>
    </row>
    <row r="39" ht="20.25" customHeight="1" spans="1:19">
      <c r="A39" s="350"/>
      <c r="B39" s="346"/>
      <c r="C39" s="329" t="s">
        <v>14</v>
      </c>
      <c r="D39" s="331">
        <f t="shared" si="63"/>
        <v>26763.7313280641</v>
      </c>
      <c r="E39" s="352">
        <f t="shared" ref="E39:I39" si="74">E31</f>
        <v>1342.65596765496</v>
      </c>
      <c r="F39" s="352">
        <f t="shared" si="74"/>
        <v>3822.10010656488</v>
      </c>
      <c r="G39" s="352">
        <f t="shared" si="74"/>
        <v>6095.6764490748</v>
      </c>
      <c r="H39" s="352">
        <f t="shared" si="74"/>
        <v>7751.64940238472</v>
      </c>
      <c r="I39" s="352">
        <f t="shared" si="74"/>
        <v>7751.64940238472</v>
      </c>
      <c r="J39" s="352"/>
      <c r="K39" s="352"/>
      <c r="L39" s="352"/>
      <c r="M39" s="352"/>
      <c r="N39" s="352"/>
      <c r="O39" s="352"/>
      <c r="P39" s="352"/>
      <c r="Q39" s="352"/>
      <c r="R39" s="352"/>
      <c r="S39" s="352"/>
    </row>
    <row r="40" s="305" customFormat="1" ht="20.25" customHeight="1" spans="1:19">
      <c r="A40" s="353"/>
      <c r="B40" s="347"/>
      <c r="C40" s="333" t="s">
        <v>15</v>
      </c>
      <c r="D40" s="335">
        <f t="shared" si="63"/>
        <v>73991.54304626</v>
      </c>
      <c r="E40" s="354">
        <f t="shared" ref="E40:I40" si="75">E32</f>
        <v>3511.4323762504</v>
      </c>
      <c r="F40" s="354">
        <f t="shared" si="75"/>
        <v>10041.6447587512</v>
      </c>
      <c r="G40" s="354">
        <f t="shared" si="75"/>
        <v>16079.204771252</v>
      </c>
      <c r="H40" s="354">
        <f t="shared" si="75"/>
        <v>20638.8076737528</v>
      </c>
      <c r="I40" s="354">
        <f t="shared" si="75"/>
        <v>23720.4534662536</v>
      </c>
      <c r="J40" s="354"/>
      <c r="K40" s="354"/>
      <c r="L40" s="354"/>
      <c r="M40" s="354"/>
      <c r="N40" s="354"/>
      <c r="O40" s="354"/>
      <c r="P40" s="354"/>
      <c r="Q40" s="354"/>
      <c r="R40" s="354"/>
      <c r="S40" s="354"/>
    </row>
    <row r="41" s="177" customFormat="1" ht="20.25" customHeight="1" spans="1:19">
      <c r="A41" s="355">
        <v>7</v>
      </c>
      <c r="B41" s="356" t="s">
        <v>304</v>
      </c>
      <c r="C41" s="322" t="s">
        <v>4</v>
      </c>
      <c r="D41" s="349"/>
      <c r="E41" s="349">
        <f>SUM(E42:E44)</f>
        <v>260407.95177904</v>
      </c>
      <c r="F41" s="349">
        <f t="shared" ref="F41:J41" si="76">SUM(F42:F44)</f>
        <v>486264.82915808</v>
      </c>
      <c r="G41" s="349">
        <f t="shared" si="76"/>
        <v>712121.70653712</v>
      </c>
      <c r="H41" s="349">
        <f t="shared" si="76"/>
        <v>813134.14512208</v>
      </c>
      <c r="I41" s="349">
        <f t="shared" si="76"/>
        <v>914146.58370704</v>
      </c>
      <c r="J41" s="349">
        <f t="shared" si="76"/>
        <v>880124.906332663</v>
      </c>
      <c r="K41" s="349">
        <f t="shared" ref="K41" si="77">SUM(K42:K44)</f>
        <v>799976.996450561</v>
      </c>
      <c r="L41" s="349">
        <f t="shared" ref="L41" si="78">SUM(L42:L44)</f>
        <v>715901.838984236</v>
      </c>
      <c r="M41" s="349">
        <f t="shared" ref="M41" si="79">SUM(M42:M44)</f>
        <v>627706.998802062</v>
      </c>
      <c r="N41" s="349">
        <f t="shared" ref="N41" si="80">SUM(N42:N44)</f>
        <v>535190.611450961</v>
      </c>
      <c r="O41" s="349">
        <f t="shared" ref="O41" si="81">SUM(O42:O44)</f>
        <v>438140.921119655</v>
      </c>
      <c r="P41" s="349">
        <f t="shared" ref="P41" si="82">SUM(P42:P44)</f>
        <v>336335.795962116</v>
      </c>
      <c r="Q41" s="349">
        <f t="shared" ref="Q41" si="83">SUM(Q42:Q44)</f>
        <v>229542.219671858</v>
      </c>
      <c r="R41" s="349">
        <f t="shared" ref="R41" si="84">SUM(R42:R44)</f>
        <v>117515.758143377</v>
      </c>
      <c r="S41" s="349">
        <f t="shared" ref="S41" si="85">SUM(S42:S44)</f>
        <v>1.16415321826935e-10</v>
      </c>
    </row>
    <row r="42" s="306" customFormat="1" ht="20.25" customHeight="1" spans="1:19">
      <c r="A42" s="355"/>
      <c r="B42" s="356"/>
      <c r="C42" s="326" t="s">
        <v>13</v>
      </c>
      <c r="D42" s="351"/>
      <c r="E42" s="351">
        <f>E10</f>
        <v>62281.89692576</v>
      </c>
      <c r="F42" s="351">
        <f>F6+F10+F14-F38</f>
        <v>118523.74665152</v>
      </c>
      <c r="G42" s="351">
        <f t="shared" ref="G42:I42" si="86">G6+G10+G14-G38</f>
        <v>174765.59637728</v>
      </c>
      <c r="H42" s="351">
        <f t="shared" si="86"/>
        <v>212887.30450304</v>
      </c>
      <c r="I42" s="351">
        <f t="shared" si="86"/>
        <v>251009.0126288</v>
      </c>
      <c r="J42" s="351">
        <f t="shared" ref="H42:S44" si="87">J6-J22</f>
        <v>230959.3125649</v>
      </c>
      <c r="K42" s="351">
        <f t="shared" si="87"/>
        <v>209927.17719787</v>
      </c>
      <c r="L42" s="351">
        <f t="shared" si="87"/>
        <v>187864.467197854</v>
      </c>
      <c r="M42" s="351">
        <f t="shared" si="87"/>
        <v>164720.684407838</v>
      </c>
      <c r="N42" s="351">
        <f t="shared" si="87"/>
        <v>140442.856261112</v>
      </c>
      <c r="O42" s="351">
        <f t="shared" si="87"/>
        <v>114975.414535195</v>
      </c>
      <c r="P42" s="351">
        <f t="shared" si="87"/>
        <v>88260.0681647091</v>
      </c>
      <c r="Q42" s="351">
        <f t="shared" si="87"/>
        <v>60235.669822069</v>
      </c>
      <c r="R42" s="351">
        <f t="shared" si="87"/>
        <v>30838.0759606396</v>
      </c>
      <c r="S42" s="351">
        <f t="shared" si="87"/>
        <v>7.27595761418343e-11</v>
      </c>
    </row>
    <row r="43" s="307" customFormat="1" spans="1:19">
      <c r="A43" s="355"/>
      <c r="B43" s="356"/>
      <c r="C43" s="329" t="s">
        <v>14</v>
      </c>
      <c r="D43" s="352"/>
      <c r="E43" s="352">
        <f>E11</f>
        <v>54802.28439408</v>
      </c>
      <c r="F43" s="352">
        <f>F7+F11+F15-F39</f>
        <v>101201.80158816</v>
      </c>
      <c r="G43" s="352">
        <f t="shared" ref="G43" si="88">G7+G11+G15-G39</f>
        <v>147601.31878224</v>
      </c>
      <c r="H43" s="352">
        <f t="shared" si="87"/>
        <v>147601.31878224</v>
      </c>
      <c r="I43" s="352">
        <f t="shared" si="87"/>
        <v>147601.31878224</v>
      </c>
      <c r="J43" s="352">
        <f t="shared" si="87"/>
        <v>174808.529112675</v>
      </c>
      <c r="K43" s="352">
        <f t="shared" si="87"/>
        <v>158889.722432922</v>
      </c>
      <c r="L43" s="352">
        <f t="shared" si="87"/>
        <v>142190.894225861</v>
      </c>
      <c r="M43" s="352">
        <f t="shared" si="87"/>
        <v>124673.823436654</v>
      </c>
      <c r="N43" s="352">
        <f t="shared" si="87"/>
        <v>106298.416178776</v>
      </c>
      <c r="O43" s="352">
        <f t="shared" si="87"/>
        <v>87022.613965262</v>
      </c>
      <c r="P43" s="352">
        <f t="shared" si="87"/>
        <v>66802.2974432857</v>
      </c>
      <c r="Q43" s="352">
        <f t="shared" si="87"/>
        <v>45591.1854117325</v>
      </c>
      <c r="R43" s="352">
        <f t="shared" si="87"/>
        <v>23340.7288906332</v>
      </c>
      <c r="S43" s="352">
        <f t="shared" si="87"/>
        <v>4.36557456851006e-11</v>
      </c>
    </row>
    <row r="44" s="308" customFormat="1" spans="1:19">
      <c r="A44" s="355"/>
      <c r="B44" s="356"/>
      <c r="C44" s="333" t="s">
        <v>15</v>
      </c>
      <c r="D44" s="354"/>
      <c r="E44" s="354">
        <f>E12</f>
        <v>143323.7704592</v>
      </c>
      <c r="F44" s="354">
        <f>F8+F12+F16-F40</f>
        <v>266539.2809184</v>
      </c>
      <c r="G44" s="354">
        <f t="shared" ref="G44:I44" si="89">G8+G12+G16-G40</f>
        <v>389754.7913776</v>
      </c>
      <c r="H44" s="354">
        <f t="shared" si="89"/>
        <v>452645.5218368</v>
      </c>
      <c r="I44" s="354">
        <f t="shared" si="89"/>
        <v>515536.252296</v>
      </c>
      <c r="J44" s="354">
        <f t="shared" si="87"/>
        <v>474357.064655087</v>
      </c>
      <c r="K44" s="354">
        <f t="shared" si="87"/>
        <v>431160.096819769</v>
      </c>
      <c r="L44" s="354">
        <f t="shared" si="87"/>
        <v>385846.477560521</v>
      </c>
      <c r="M44" s="354">
        <f t="shared" si="87"/>
        <v>338312.490957569</v>
      </c>
      <c r="N44" s="354">
        <f t="shared" si="87"/>
        <v>288449.339011073</v>
      </c>
      <c r="O44" s="354">
        <f t="shared" si="87"/>
        <v>236142.892619198</v>
      </c>
      <c r="P44" s="354">
        <f t="shared" si="87"/>
        <v>181273.430354122</v>
      </c>
      <c r="Q44" s="354">
        <f t="shared" si="87"/>
        <v>123715.364438056</v>
      </c>
      <c r="R44" s="354">
        <f t="shared" si="87"/>
        <v>63336.953292104</v>
      </c>
      <c r="S44" s="354">
        <f t="shared" si="87"/>
        <v>0</v>
      </c>
    </row>
    <row r="46" ht="45" spans="10:10">
      <c r="J46" s="359" t="s">
        <v>305</v>
      </c>
    </row>
  </sheetData>
  <mergeCells count="26">
    <mergeCell ref="A1:S1"/>
    <mergeCell ref="E2:I2"/>
    <mergeCell ref="J2:S2"/>
    <mergeCell ref="A2:A4"/>
    <mergeCell ref="A5:A8"/>
    <mergeCell ref="A9:A12"/>
    <mergeCell ref="A13:A16"/>
    <mergeCell ref="A17:A20"/>
    <mergeCell ref="A21:A24"/>
    <mergeCell ref="A25:A28"/>
    <mergeCell ref="A29:A32"/>
    <mergeCell ref="A33:A36"/>
    <mergeCell ref="A37:A40"/>
    <mergeCell ref="A41:A44"/>
    <mergeCell ref="B2:B4"/>
    <mergeCell ref="B5:B8"/>
    <mergeCell ref="B9:B12"/>
    <mergeCell ref="B13:B16"/>
    <mergeCell ref="B17:B20"/>
    <mergeCell ref="B21:B24"/>
    <mergeCell ref="B25:B28"/>
    <mergeCell ref="B29:B32"/>
    <mergeCell ref="B33:B36"/>
    <mergeCell ref="B37:B40"/>
    <mergeCell ref="B41:B44"/>
    <mergeCell ref="D2:D4"/>
  </mergeCells>
  <pageMargins left="0.699305555555556" right="0.699305555555556" top="0.75" bottom="0.75" header="0.3" footer="0.3"/>
  <pageSetup paperSize="9"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70C0"/>
  </sheetPr>
  <dimension ref="A1:X59"/>
  <sheetViews>
    <sheetView topLeftCell="F1" workbookViewId="0">
      <selection activeCell="X31" sqref="X31"/>
    </sheetView>
  </sheetViews>
  <sheetFormatPr defaultColWidth="9" defaultRowHeight="14.25"/>
  <cols>
    <col min="1" max="1" width="4.75" style="109" customWidth="1"/>
    <col min="2" max="2" width="9.75" style="269" customWidth="1"/>
    <col min="3" max="3" width="7.625" style="109" customWidth="1"/>
    <col min="4" max="4" width="13.125" style="109" customWidth="1"/>
    <col min="5" max="5" width="9.375" style="109" customWidth="1"/>
    <col min="6" max="7" width="10.25" style="109" customWidth="1"/>
    <col min="8" max="8" width="12.75" style="109" customWidth="1"/>
    <col min="9" max="9" width="11.625" style="109" customWidth="1"/>
    <col min="10" max="11" width="12.75" style="109" customWidth="1"/>
    <col min="12" max="12" width="11.625" style="109" customWidth="1"/>
    <col min="13" max="19" width="12.75" style="109" customWidth="1"/>
    <col min="20" max="20" width="14.5" style="109" customWidth="1"/>
    <col min="21" max="24" width="14.375" style="109" customWidth="1"/>
    <col min="25" max="16384" width="9" style="109"/>
  </cols>
  <sheetData>
    <row r="1" ht="30" customHeight="1" spans="1:24">
      <c r="A1" s="270" t="s">
        <v>306</v>
      </c>
      <c r="B1" s="270"/>
      <c r="C1" s="270"/>
      <c r="D1" s="270"/>
      <c r="E1" s="270"/>
      <c r="F1" s="270"/>
      <c r="G1" s="270"/>
      <c r="H1" s="270"/>
      <c r="I1" s="270"/>
      <c r="J1" s="270"/>
      <c r="K1" s="270"/>
      <c r="L1" s="270"/>
      <c r="M1" s="270"/>
      <c r="N1" s="270"/>
      <c r="O1" s="270"/>
      <c r="P1" s="270"/>
      <c r="Q1" s="270"/>
      <c r="R1" s="294" t="s">
        <v>307</v>
      </c>
      <c r="S1" s="295">
        <v>0.0592</v>
      </c>
      <c r="U1" s="296" t="s">
        <v>308</v>
      </c>
      <c r="V1" s="297"/>
      <c r="W1" s="297"/>
      <c r="X1" s="297"/>
    </row>
    <row r="2" ht="15.75" customHeight="1" spans="1:24">
      <c r="A2" s="111" t="s">
        <v>1</v>
      </c>
      <c r="B2" s="271" t="s">
        <v>2</v>
      </c>
      <c r="C2" s="272" t="s">
        <v>3</v>
      </c>
      <c r="D2" s="111" t="s">
        <v>4</v>
      </c>
      <c r="E2" s="111" t="s">
        <v>5</v>
      </c>
      <c r="F2" s="152"/>
      <c r="G2" s="152"/>
      <c r="H2" s="152"/>
      <c r="I2" s="152"/>
      <c r="J2" s="288" t="s">
        <v>43</v>
      </c>
      <c r="K2" s="289"/>
      <c r="L2" s="289"/>
      <c r="M2" s="289"/>
      <c r="N2" s="289"/>
      <c r="O2" s="289"/>
      <c r="P2" s="289"/>
      <c r="Q2" s="289"/>
      <c r="R2" s="289"/>
      <c r="S2" s="298"/>
      <c r="U2" s="113" t="s">
        <v>309</v>
      </c>
      <c r="V2" s="113" t="s">
        <v>310</v>
      </c>
      <c r="W2" s="113" t="s">
        <v>309</v>
      </c>
      <c r="X2" s="113" t="s">
        <v>310</v>
      </c>
    </row>
    <row r="3" ht="16.5" customHeight="1" spans="1:24">
      <c r="A3" s="111"/>
      <c r="B3" s="271"/>
      <c r="C3" s="273"/>
      <c r="D3" s="111"/>
      <c r="E3" s="111" t="s">
        <v>6</v>
      </c>
      <c r="F3" s="111" t="s">
        <v>7</v>
      </c>
      <c r="G3" s="111" t="s">
        <v>8</v>
      </c>
      <c r="H3" s="111" t="s">
        <v>9</v>
      </c>
      <c r="I3" s="111" t="s">
        <v>10</v>
      </c>
      <c r="J3" s="111" t="s">
        <v>235</v>
      </c>
      <c r="K3" s="111" t="s">
        <v>236</v>
      </c>
      <c r="L3" s="111" t="s">
        <v>237</v>
      </c>
      <c r="M3" s="111" t="s">
        <v>238</v>
      </c>
      <c r="N3" s="111" t="s">
        <v>239</v>
      </c>
      <c r="O3" s="111" t="s">
        <v>240</v>
      </c>
      <c r="P3" s="111" t="s">
        <v>241</v>
      </c>
      <c r="Q3" s="111" t="s">
        <v>242</v>
      </c>
      <c r="R3" s="111" t="s">
        <v>243</v>
      </c>
      <c r="S3" s="111" t="s">
        <v>244</v>
      </c>
      <c r="U3" s="111" t="s">
        <v>311</v>
      </c>
      <c r="V3" s="299">
        <f>E5</f>
        <v>6379.99481858648</v>
      </c>
      <c r="W3" s="111" t="s">
        <v>312</v>
      </c>
      <c r="X3" s="299">
        <f>M5</f>
        <v>158392.685600481</v>
      </c>
    </row>
    <row r="4" ht="16.5" customHeight="1" spans="1:24">
      <c r="A4" s="111"/>
      <c r="B4" s="271"/>
      <c r="C4" s="274"/>
      <c r="D4" s="111"/>
      <c r="E4" s="152">
        <v>1</v>
      </c>
      <c r="F4" s="152">
        <v>2</v>
      </c>
      <c r="G4" s="152">
        <v>3</v>
      </c>
      <c r="H4" s="152">
        <v>4</v>
      </c>
      <c r="I4" s="152">
        <v>5</v>
      </c>
      <c r="J4" s="152">
        <v>6</v>
      </c>
      <c r="K4" s="152">
        <v>7</v>
      </c>
      <c r="L4" s="152">
        <v>8</v>
      </c>
      <c r="M4" s="152">
        <v>9</v>
      </c>
      <c r="N4" s="152">
        <v>10</v>
      </c>
      <c r="O4" s="152">
        <v>11</v>
      </c>
      <c r="P4" s="152">
        <v>12</v>
      </c>
      <c r="Q4" s="152">
        <v>13</v>
      </c>
      <c r="R4" s="152">
        <v>14</v>
      </c>
      <c r="S4" s="152">
        <v>15</v>
      </c>
      <c r="U4" s="111" t="s">
        <v>313</v>
      </c>
      <c r="V4" s="299">
        <f>F5</f>
        <v>18293.4831329594</v>
      </c>
      <c r="W4" s="111" t="s">
        <v>314</v>
      </c>
      <c r="X4" s="299">
        <f>N5</f>
        <v>158782.426972082</v>
      </c>
    </row>
    <row r="5" ht="16.5" customHeight="1" spans="1:24">
      <c r="A5" s="272">
        <v>1</v>
      </c>
      <c r="B5" s="275" t="s">
        <v>315</v>
      </c>
      <c r="C5" s="276" t="s">
        <v>4</v>
      </c>
      <c r="D5" s="277">
        <f>SUM(E5:S5)</f>
        <v>1719924.73686932</v>
      </c>
      <c r="E5" s="277">
        <f>SUM(E6:E8)</f>
        <v>6379.99481858648</v>
      </c>
      <c r="F5" s="277">
        <f t="shared" ref="F5:S5" si="0">SUM(F6:F8)</f>
        <v>18293.4831329594</v>
      </c>
      <c r="G5" s="277">
        <f t="shared" si="0"/>
        <v>29360.4701245324</v>
      </c>
      <c r="H5" s="277">
        <f t="shared" si="0"/>
        <v>37887.9531477054</v>
      </c>
      <c r="I5" s="277">
        <f t="shared" si="0"/>
        <v>42837.5626383684</v>
      </c>
      <c r="J5" s="277">
        <f t="shared" si="0"/>
        <v>155386.150473327</v>
      </c>
      <c r="K5" s="277">
        <f t="shared" si="0"/>
        <v>156212.513551827</v>
      </c>
      <c r="L5" s="277">
        <f t="shared" si="0"/>
        <v>157742.610667635</v>
      </c>
      <c r="M5" s="277">
        <f t="shared" si="0"/>
        <v>158392.685600481</v>
      </c>
      <c r="N5" s="277">
        <f t="shared" si="0"/>
        <v>158782.426972082</v>
      </c>
      <c r="O5" s="277">
        <f t="shared" si="0"/>
        <v>159227.256632035</v>
      </c>
      <c r="P5" s="277">
        <f t="shared" si="0"/>
        <v>159785.858462485</v>
      </c>
      <c r="Q5" s="277">
        <f t="shared" si="0"/>
        <v>159785.858462485</v>
      </c>
      <c r="R5" s="277">
        <f t="shared" si="0"/>
        <v>159816.463067125</v>
      </c>
      <c r="S5" s="277">
        <f t="shared" si="0"/>
        <v>160033.449117686</v>
      </c>
      <c r="U5" s="111" t="s">
        <v>316</v>
      </c>
      <c r="V5" s="300">
        <f>G5</f>
        <v>29360.4701245324</v>
      </c>
      <c r="W5" s="111" t="s">
        <v>317</v>
      </c>
      <c r="X5" s="300">
        <f>O5</f>
        <v>159227.256632035</v>
      </c>
    </row>
    <row r="6" ht="16.5" customHeight="1" spans="1:24">
      <c r="A6" s="273"/>
      <c r="B6" s="278"/>
      <c r="C6" s="279" t="s">
        <v>13</v>
      </c>
      <c r="D6" s="280">
        <f t="shared" ref="D6:D7" si="1">SUM(E6:S6)</f>
        <v>448968.412125458</v>
      </c>
      <c r="E6" s="280">
        <f>'建设期支付利息还本付息计划表  '!E26+E26</f>
        <v>1525.90647468112</v>
      </c>
      <c r="F6" s="280">
        <f>'建设期支付利息还本付息计划表  '!F26+F26</f>
        <v>4429.73826764336</v>
      </c>
      <c r="G6" s="280">
        <f>'建设期支付利息还本付息计划表  '!G26+G26</f>
        <v>7185.5889042056</v>
      </c>
      <c r="H6" s="280">
        <f>'建设期支付利息还本付息计划表  '!H26+H26</f>
        <v>9497.49607156784</v>
      </c>
      <c r="I6" s="280">
        <f>'建设期支付利息还本付息计划表  '!I26+I26</f>
        <v>11365.4597697301</v>
      </c>
      <c r="J6" s="280">
        <f>J14+J26</f>
        <v>40711.2188105998</v>
      </c>
      <c r="K6" s="280">
        <f t="shared" ref="K6:S6" si="2">K14+K26</f>
        <v>40888.3700775998</v>
      </c>
      <c r="L6" s="280">
        <f t="shared" si="2"/>
        <v>41301.7834517998</v>
      </c>
      <c r="M6" s="280">
        <f t="shared" si="2"/>
        <v>41439.4775033598</v>
      </c>
      <c r="N6" s="280">
        <f t="shared" si="2"/>
        <v>41541.4928521598</v>
      </c>
      <c r="O6" s="280">
        <f t="shared" si="2"/>
        <v>41698.5964893118</v>
      </c>
      <c r="P6" s="280">
        <f t="shared" si="2"/>
        <v>41824.5721104198</v>
      </c>
      <c r="Q6" s="280">
        <f t="shared" si="2"/>
        <v>41824.5721104198</v>
      </c>
      <c r="R6" s="280">
        <f t="shared" si="2"/>
        <v>41855.1767150598</v>
      </c>
      <c r="S6" s="280">
        <f t="shared" si="2"/>
        <v>41878.9625168998</v>
      </c>
      <c r="U6" s="111" t="s">
        <v>318</v>
      </c>
      <c r="V6" s="299">
        <f>H5</f>
        <v>37887.9531477054</v>
      </c>
      <c r="W6" s="111" t="s">
        <v>319</v>
      </c>
      <c r="X6" s="299">
        <f>P5</f>
        <v>159785.858462485</v>
      </c>
    </row>
    <row r="7" ht="16.5" customHeight="1" spans="1:24">
      <c r="A7" s="273"/>
      <c r="B7" s="278"/>
      <c r="C7" s="279" t="s">
        <v>14</v>
      </c>
      <c r="D7" s="280">
        <f t="shared" si="1"/>
        <v>340583.10231283</v>
      </c>
      <c r="E7" s="280">
        <f>'建设期支付利息还本付息计划表  '!E27+E27</f>
        <v>1342.65596765496</v>
      </c>
      <c r="F7" s="280">
        <f>'建设期支付利息还本付息计划表  '!F27+F27</f>
        <v>3822.10010656488</v>
      </c>
      <c r="G7" s="280">
        <f>'建设期支付利息还本付息计划表  '!G27+G27</f>
        <v>6095.6764490748</v>
      </c>
      <c r="H7" s="280">
        <f>'建设期支付利息还本付息计划表  '!H27+H27</f>
        <v>7751.64940238472</v>
      </c>
      <c r="I7" s="280">
        <f>'建设期支付利息还本付息计划表  '!I27+I27</f>
        <v>7751.64940238472</v>
      </c>
      <c r="J7" s="280">
        <f t="shared" ref="J7:S7" si="3">J15+J27</f>
        <v>30868.8877477667</v>
      </c>
      <c r="K7" s="280">
        <f t="shared" si="3"/>
        <v>31044.4411817667</v>
      </c>
      <c r="L7" s="280">
        <f t="shared" si="3"/>
        <v>31263.8335267747</v>
      </c>
      <c r="M7" s="280">
        <f t="shared" si="3"/>
        <v>31374.7411411325</v>
      </c>
      <c r="N7" s="280">
        <f t="shared" si="3"/>
        <v>31430.6475278396</v>
      </c>
      <c r="O7" s="280">
        <f t="shared" si="3"/>
        <v>31486.5539145467</v>
      </c>
      <c r="P7" s="280">
        <f t="shared" si="3"/>
        <v>31576.2899399895</v>
      </c>
      <c r="Q7" s="280">
        <f t="shared" si="3"/>
        <v>31576.2899399895</v>
      </c>
      <c r="R7" s="280">
        <f t="shared" si="3"/>
        <v>31576.2899399895</v>
      </c>
      <c r="S7" s="280">
        <f t="shared" si="3"/>
        <v>31621.3961249703</v>
      </c>
      <c r="U7" s="111" t="s">
        <v>320</v>
      </c>
      <c r="V7" s="299">
        <f>I5</f>
        <v>42837.5626383684</v>
      </c>
      <c r="W7" s="111" t="s">
        <v>321</v>
      </c>
      <c r="X7" s="299">
        <f>R5</f>
        <v>159816.463067125</v>
      </c>
    </row>
    <row r="8" ht="16.5" customHeight="1" spans="1:24">
      <c r="A8" s="274"/>
      <c r="B8" s="281"/>
      <c r="C8" s="279" t="s">
        <v>15</v>
      </c>
      <c r="D8" s="280">
        <f t="shared" ref="D8:D9" si="4">SUM(E8:S8)</f>
        <v>930373.222431035</v>
      </c>
      <c r="E8" s="280">
        <f>'建设期支付利息还本付息计划表  '!E28+E28</f>
        <v>3511.4323762504</v>
      </c>
      <c r="F8" s="280">
        <f>'建设期支付利息还本付息计划表  '!F28+F28</f>
        <v>10041.6447587512</v>
      </c>
      <c r="G8" s="280">
        <f>'建设期支付利息还本付息计划表  '!G28+G28</f>
        <v>16079.204771252</v>
      </c>
      <c r="H8" s="280">
        <f>'建设期支付利息还本付息计划表  '!H28+H28</f>
        <v>20638.8076737528</v>
      </c>
      <c r="I8" s="280">
        <f>'建设期支付利息还本付息计划表  '!I28+I28</f>
        <v>23720.4534662536</v>
      </c>
      <c r="J8" s="280">
        <f>J16+J28</f>
        <v>83806.0439149609</v>
      </c>
      <c r="K8" s="280">
        <f t="shared" ref="K8:S8" si="5">K16+K28</f>
        <v>84279.7022924609</v>
      </c>
      <c r="L8" s="280">
        <f t="shared" si="5"/>
        <v>85176.9936890609</v>
      </c>
      <c r="M8" s="280">
        <f t="shared" si="5"/>
        <v>85578.4669559889</v>
      </c>
      <c r="N8" s="280">
        <f t="shared" si="5"/>
        <v>85810.2865920829</v>
      </c>
      <c r="O8" s="280">
        <f t="shared" si="5"/>
        <v>86042.1062281769</v>
      </c>
      <c r="P8" s="280">
        <f t="shared" si="5"/>
        <v>86384.9964120759</v>
      </c>
      <c r="Q8" s="280">
        <f t="shared" si="5"/>
        <v>86384.9964120759</v>
      </c>
      <c r="R8" s="280">
        <f t="shared" si="5"/>
        <v>86384.9964120759</v>
      </c>
      <c r="S8" s="280">
        <f t="shared" si="5"/>
        <v>86533.0904758159</v>
      </c>
      <c r="U8" s="111" t="s">
        <v>322</v>
      </c>
      <c r="V8" s="299">
        <f>J5</f>
        <v>155386.150473327</v>
      </c>
      <c r="W8" s="111" t="s">
        <v>323</v>
      </c>
      <c r="X8" s="299">
        <f>Q5</f>
        <v>159785.858462485</v>
      </c>
    </row>
    <row r="9" s="179" customFormat="1" ht="20.25" customHeight="1" spans="1:24">
      <c r="A9" s="282">
        <v>2</v>
      </c>
      <c r="B9" s="275" t="s">
        <v>324</v>
      </c>
      <c r="C9" s="276" t="s">
        <v>4</v>
      </c>
      <c r="D9" s="277">
        <f t="shared" si="4"/>
        <v>1691615.82086932</v>
      </c>
      <c r="E9" s="277">
        <f>SUM(E10:E12)-E49</f>
        <v>6379.99481858648</v>
      </c>
      <c r="F9" s="277">
        <f t="shared" ref="F9:I9" si="6">SUM(F10:F12)-F49</f>
        <v>18293.4831329594</v>
      </c>
      <c r="G9" s="277">
        <f t="shared" si="6"/>
        <v>29360.4701245324</v>
      </c>
      <c r="H9" s="277">
        <f t="shared" si="6"/>
        <v>37887.9531477054</v>
      </c>
      <c r="I9" s="277">
        <f t="shared" si="6"/>
        <v>42837.5626383684</v>
      </c>
      <c r="J9" s="277">
        <f>SUM(J10:J12)</f>
        <v>153706.255513327</v>
      </c>
      <c r="K9" s="277">
        <f t="shared" ref="K9:S9" si="7">SUM(K10:K12)</f>
        <v>154346.218591827</v>
      </c>
      <c r="L9" s="277">
        <f t="shared" si="7"/>
        <v>155440.617387635</v>
      </c>
      <c r="M9" s="277">
        <f t="shared" si="7"/>
        <v>155904.292320481</v>
      </c>
      <c r="N9" s="277">
        <f t="shared" si="7"/>
        <v>155858.335372082</v>
      </c>
      <c r="O9" s="277">
        <f t="shared" si="7"/>
        <v>156116.765032035</v>
      </c>
      <c r="P9" s="277">
        <f t="shared" si="7"/>
        <v>156426.068542485</v>
      </c>
      <c r="Q9" s="277">
        <f t="shared" si="7"/>
        <v>156426.068542485</v>
      </c>
      <c r="R9" s="277">
        <f t="shared" si="7"/>
        <v>156207.374827125</v>
      </c>
      <c r="S9" s="277">
        <f t="shared" si="7"/>
        <v>156424.360877686</v>
      </c>
      <c r="U9" s="111" t="s">
        <v>325</v>
      </c>
      <c r="V9" s="300">
        <f>K5</f>
        <v>156212.513551827</v>
      </c>
      <c r="W9" s="111" t="s">
        <v>326</v>
      </c>
      <c r="X9" s="300">
        <f>S5</f>
        <v>160033.449117686</v>
      </c>
    </row>
    <row r="10" ht="20.25" customHeight="1" spans="1:24">
      <c r="A10" s="283"/>
      <c r="B10" s="278"/>
      <c r="C10" s="279" t="s">
        <v>13</v>
      </c>
      <c r="D10" s="280">
        <f t="shared" ref="D10:D13" si="8">SUM(E10:S10)</f>
        <v>444187.672125458</v>
      </c>
      <c r="E10" s="280">
        <f>'建设期支付利息还本付息计划表  '!E26+E26-E50</f>
        <v>1525.90647468112</v>
      </c>
      <c r="F10" s="280">
        <f>'建设期支付利息还本付息计划表  '!F26+F26-F50</f>
        <v>4429.73826764336</v>
      </c>
      <c r="G10" s="280">
        <f>'建设期支付利息还本付息计划表  '!G26+G26-G50</f>
        <v>7185.5889042056</v>
      </c>
      <c r="H10" s="280">
        <f>'建设期支付利息还本付息计划表  '!H26+H26-H50</f>
        <v>9497.49607156784</v>
      </c>
      <c r="I10" s="280">
        <f>'建设期支付利息还本付息计划表  '!I26+I26-I50</f>
        <v>11365.4597697301</v>
      </c>
      <c r="J10" s="280">
        <f>J14+J26-J50</f>
        <v>40428.3344105998</v>
      </c>
      <c r="K10" s="280">
        <f t="shared" ref="K10:S10" si="9">K14+K26-K50</f>
        <v>40565.8856775998</v>
      </c>
      <c r="L10" s="280">
        <f t="shared" si="9"/>
        <v>40911.4042517998</v>
      </c>
      <c r="M10" s="280">
        <f t="shared" si="9"/>
        <v>41009.4983033598</v>
      </c>
      <c r="N10" s="280">
        <f t="shared" si="9"/>
        <v>41043.6188521598</v>
      </c>
      <c r="O10" s="280">
        <f t="shared" si="9"/>
        <v>41161.1224893118</v>
      </c>
      <c r="P10" s="280">
        <f t="shared" si="9"/>
        <v>41258.8033104198</v>
      </c>
      <c r="Q10" s="280">
        <f t="shared" si="9"/>
        <v>41258.8033104198</v>
      </c>
      <c r="R10" s="280">
        <f t="shared" si="9"/>
        <v>41261.1131150598</v>
      </c>
      <c r="S10" s="280">
        <f t="shared" si="9"/>
        <v>41284.8989168998</v>
      </c>
      <c r="U10" s="111" t="s">
        <v>327</v>
      </c>
      <c r="V10" s="299">
        <f>L5</f>
        <v>157742.610667635</v>
      </c>
      <c r="W10" s="111" t="s">
        <v>4</v>
      </c>
      <c r="X10" s="299">
        <f>D5</f>
        <v>1719924.73686932</v>
      </c>
    </row>
    <row r="11" ht="20.25" customHeight="1" spans="1:19">
      <c r="A11" s="283"/>
      <c r="B11" s="278"/>
      <c r="C11" s="279" t="s">
        <v>14</v>
      </c>
      <c r="D11" s="280">
        <f t="shared" si="8"/>
        <v>335011.18631283</v>
      </c>
      <c r="E11" s="280">
        <f>'建设期支付利息还本付息计划表  '!E27+E27-E51</f>
        <v>1342.65596765496</v>
      </c>
      <c r="F11" s="280">
        <f>'建设期支付利息还本付息计划表  '!F27+F27-F51</f>
        <v>3822.10010656488</v>
      </c>
      <c r="G11" s="280">
        <f>'建设期支付利息还本付息计划表  '!G27+G27-G51</f>
        <v>6095.6764490748</v>
      </c>
      <c r="H11" s="280">
        <f>'建设期支付利息还本付息计划表  '!H27+H27-H51</f>
        <v>7751.64940238472</v>
      </c>
      <c r="I11" s="280">
        <f>'建设期支付利息还本付息计划表  '!I27+I27-I51</f>
        <v>7751.64940238472</v>
      </c>
      <c r="J11" s="280">
        <f t="shared" ref="J11:S11" si="10">J15+J27-J51</f>
        <v>30537.7327877667</v>
      </c>
      <c r="K11" s="280">
        <f t="shared" si="10"/>
        <v>30681.6862217667</v>
      </c>
      <c r="L11" s="280">
        <f t="shared" si="10"/>
        <v>30811.7602467747</v>
      </c>
      <c r="M11" s="280">
        <f t="shared" si="10"/>
        <v>30891.0678611325</v>
      </c>
      <c r="N11" s="280">
        <f t="shared" si="10"/>
        <v>30857.6559278396</v>
      </c>
      <c r="O11" s="280">
        <f t="shared" si="10"/>
        <v>30881.9623145467</v>
      </c>
      <c r="P11" s="280">
        <f t="shared" si="10"/>
        <v>30913.9800199895</v>
      </c>
      <c r="Q11" s="280">
        <f t="shared" si="10"/>
        <v>30913.9800199895</v>
      </c>
      <c r="R11" s="280">
        <f t="shared" si="10"/>
        <v>30856.2616999895</v>
      </c>
      <c r="S11" s="280">
        <f t="shared" si="10"/>
        <v>30901.3678849703</v>
      </c>
    </row>
    <row r="12" ht="20.25" customHeight="1" spans="1:19">
      <c r="A12" s="284"/>
      <c r="B12" s="281"/>
      <c r="C12" s="279" t="s">
        <v>15</v>
      </c>
      <c r="D12" s="280">
        <f t="shared" si="8"/>
        <v>912416.962431035</v>
      </c>
      <c r="E12" s="280">
        <f>'建设期支付利息还本付息计划表  '!E28+E28-E52</f>
        <v>3511.4323762504</v>
      </c>
      <c r="F12" s="280">
        <f>'建设期支付利息还本付息计划表  '!F28+F28-F52</f>
        <v>10041.6447587512</v>
      </c>
      <c r="G12" s="280">
        <f>'建设期支付利息还本付息计划表  '!G28+G28-G52</f>
        <v>16079.204771252</v>
      </c>
      <c r="H12" s="280">
        <f>'建设期支付利息还本付息计划表  '!H28+H28-H52</f>
        <v>20638.8076737528</v>
      </c>
      <c r="I12" s="280">
        <f>'建设期支付利息还本付息计划表  '!I28+I28-I52</f>
        <v>23720.4534662536</v>
      </c>
      <c r="J12" s="280">
        <f>J16+J28-J52</f>
        <v>82740.1883149609</v>
      </c>
      <c r="K12" s="280">
        <f t="shared" ref="K12:S12" si="11">K16+K28-K52</f>
        <v>83098.6466924609</v>
      </c>
      <c r="L12" s="280">
        <f t="shared" si="11"/>
        <v>83717.4528890609</v>
      </c>
      <c r="M12" s="280">
        <f t="shared" si="11"/>
        <v>84003.7261559889</v>
      </c>
      <c r="N12" s="280">
        <f t="shared" si="11"/>
        <v>83957.0605920829</v>
      </c>
      <c r="O12" s="280">
        <f t="shared" si="11"/>
        <v>84073.6802281769</v>
      </c>
      <c r="P12" s="280">
        <f t="shared" si="11"/>
        <v>84253.2852120759</v>
      </c>
      <c r="Q12" s="280">
        <f t="shared" si="11"/>
        <v>84253.2852120759</v>
      </c>
      <c r="R12" s="280">
        <f t="shared" si="11"/>
        <v>84090.0000120759</v>
      </c>
      <c r="S12" s="280">
        <f t="shared" si="11"/>
        <v>84238.0940758159</v>
      </c>
    </row>
    <row r="13" s="179" customFormat="1" ht="20.25" customHeight="1" spans="1:24">
      <c r="A13" s="282">
        <v>3</v>
      </c>
      <c r="B13" s="275" t="s">
        <v>328</v>
      </c>
      <c r="C13" s="276" t="s">
        <v>4</v>
      </c>
      <c r="D13" s="277">
        <f t="shared" si="8"/>
        <v>1527916.25887423</v>
      </c>
      <c r="E13" s="277"/>
      <c r="F13" s="277"/>
      <c r="G13" s="277"/>
      <c r="H13" s="277"/>
      <c r="I13" s="277"/>
      <c r="J13" s="277">
        <f t="shared" ref="J13:S13" si="12">SUM(J14:J16)</f>
        <v>152791.625887423</v>
      </c>
      <c r="K13" s="277">
        <f t="shared" si="12"/>
        <v>152791.625887423</v>
      </c>
      <c r="L13" s="277">
        <f t="shared" si="12"/>
        <v>152791.625887423</v>
      </c>
      <c r="M13" s="277">
        <f t="shared" si="12"/>
        <v>152791.625887423</v>
      </c>
      <c r="N13" s="277">
        <f t="shared" si="12"/>
        <v>152791.625887423</v>
      </c>
      <c r="O13" s="277">
        <f t="shared" si="12"/>
        <v>152791.625887423</v>
      </c>
      <c r="P13" s="277">
        <f t="shared" si="12"/>
        <v>152791.625887423</v>
      </c>
      <c r="Q13" s="277">
        <f t="shared" si="12"/>
        <v>152791.625887423</v>
      </c>
      <c r="R13" s="277">
        <f t="shared" si="12"/>
        <v>152791.625887423</v>
      </c>
      <c r="S13" s="277">
        <f t="shared" si="12"/>
        <v>152791.625887423</v>
      </c>
      <c r="T13" s="301"/>
      <c r="U13" s="302" t="s">
        <v>329</v>
      </c>
      <c r="V13" s="302"/>
      <c r="W13" s="302"/>
      <c r="X13" s="302"/>
    </row>
    <row r="14" ht="20.25" customHeight="1" spans="1:24">
      <c r="A14" s="283"/>
      <c r="B14" s="278"/>
      <c r="C14" s="279" t="s">
        <v>13</v>
      </c>
      <c r="D14" s="280">
        <f t="shared" ref="D14:D19" si="13">SUM(E14:S14)</f>
        <v>400950.463129998</v>
      </c>
      <c r="E14" s="280"/>
      <c r="F14" s="280"/>
      <c r="G14" s="280"/>
      <c r="H14" s="280"/>
      <c r="I14" s="280"/>
      <c r="J14" s="280">
        <f>-PMT(S1,10,项目投资与资金筹措计划表!D9,0,1)</f>
        <v>40095.0463129998</v>
      </c>
      <c r="K14" s="280">
        <f t="shared" ref="K14:L16" si="14">J14</f>
        <v>40095.0463129998</v>
      </c>
      <c r="L14" s="280">
        <f t="shared" ref="L14:S14" si="15">K14</f>
        <v>40095.0463129998</v>
      </c>
      <c r="M14" s="280">
        <f t="shared" si="15"/>
        <v>40095.0463129998</v>
      </c>
      <c r="N14" s="280">
        <f t="shared" si="15"/>
        <v>40095.0463129998</v>
      </c>
      <c r="O14" s="280">
        <f t="shared" si="15"/>
        <v>40095.0463129998</v>
      </c>
      <c r="P14" s="280">
        <f t="shared" si="15"/>
        <v>40095.0463129998</v>
      </c>
      <c r="Q14" s="280">
        <f t="shared" si="15"/>
        <v>40095.0463129998</v>
      </c>
      <c r="R14" s="280">
        <f t="shared" si="15"/>
        <v>40095.0463129998</v>
      </c>
      <c r="S14" s="280">
        <f t="shared" si="15"/>
        <v>40095.0463129998</v>
      </c>
      <c r="T14" s="109">
        <f>'建设期支付利息还本付息计划表  '!J26</f>
        <v>12299.4416188112</v>
      </c>
      <c r="U14" s="303"/>
      <c r="V14" s="303"/>
      <c r="W14" s="303"/>
      <c r="X14" s="303"/>
    </row>
    <row r="15" ht="20.25" customHeight="1" spans="1:24">
      <c r="A15" s="283"/>
      <c r="B15" s="278"/>
      <c r="C15" s="279" t="s">
        <v>14</v>
      </c>
      <c r="D15" s="280">
        <f t="shared" si="13"/>
        <v>303471.463992627</v>
      </c>
      <c r="E15" s="280"/>
      <c r="F15" s="280"/>
      <c r="G15" s="280"/>
      <c r="H15" s="280"/>
      <c r="I15" s="280"/>
      <c r="J15" s="280">
        <f>-PMT(S1,10,项目投资与资金筹措计划表!D10,0,1)</f>
        <v>30347.1463992627</v>
      </c>
      <c r="K15" s="280">
        <f>J15</f>
        <v>30347.1463992627</v>
      </c>
      <c r="L15" s="280">
        <f t="shared" ref="L15:S15" si="16">K15</f>
        <v>30347.1463992627</v>
      </c>
      <c r="M15" s="280">
        <f t="shared" si="16"/>
        <v>30347.1463992627</v>
      </c>
      <c r="N15" s="280">
        <f t="shared" si="16"/>
        <v>30347.1463992627</v>
      </c>
      <c r="O15" s="280">
        <f t="shared" si="16"/>
        <v>30347.1463992627</v>
      </c>
      <c r="P15" s="280">
        <f t="shared" si="16"/>
        <v>30347.1463992627</v>
      </c>
      <c r="Q15" s="280">
        <f t="shared" si="16"/>
        <v>30347.1463992627</v>
      </c>
      <c r="R15" s="280">
        <f t="shared" si="16"/>
        <v>30347.1463992627</v>
      </c>
      <c r="S15" s="280">
        <f t="shared" si="16"/>
        <v>30347.1463992627</v>
      </c>
      <c r="T15" s="109">
        <f>'建设期支付利息还本付息计划表  '!J27</f>
        <v>9309.2037485496</v>
      </c>
      <c r="U15" s="113" t="s">
        <v>309</v>
      </c>
      <c r="V15" s="113" t="s">
        <v>310</v>
      </c>
      <c r="W15" s="113" t="s">
        <v>309</v>
      </c>
      <c r="X15" s="113" t="s">
        <v>310</v>
      </c>
    </row>
    <row r="16" ht="20.25" customHeight="1" spans="1:24">
      <c r="A16" s="284"/>
      <c r="B16" s="281"/>
      <c r="C16" s="279" t="s">
        <v>15</v>
      </c>
      <c r="D16" s="280">
        <f t="shared" si="13"/>
        <v>823494.331751609</v>
      </c>
      <c r="E16" s="280"/>
      <c r="F16" s="280"/>
      <c r="G16" s="280"/>
      <c r="H16" s="280"/>
      <c r="I16" s="280"/>
      <c r="J16" s="280">
        <f>-PMT(S1,10,项目投资与资金筹措计划表!D11,0,1)</f>
        <v>82349.4331751609</v>
      </c>
      <c r="K16" s="280">
        <f>J16</f>
        <v>82349.4331751609</v>
      </c>
      <c r="L16" s="280">
        <f t="shared" si="14"/>
        <v>82349.4331751609</v>
      </c>
      <c r="M16" s="280">
        <f t="shared" ref="M16:N16" si="17">L16</f>
        <v>82349.4331751609</v>
      </c>
      <c r="N16" s="280">
        <f t="shared" si="17"/>
        <v>82349.4331751609</v>
      </c>
      <c r="O16" s="280">
        <f t="shared" ref="O16:S16" si="18">N16</f>
        <v>82349.4331751609</v>
      </c>
      <c r="P16" s="280">
        <f t="shared" si="18"/>
        <v>82349.4331751609</v>
      </c>
      <c r="Q16" s="280">
        <f t="shared" si="18"/>
        <v>82349.4331751609</v>
      </c>
      <c r="R16" s="280">
        <f t="shared" si="18"/>
        <v>82349.4331751609</v>
      </c>
      <c r="S16" s="280">
        <f t="shared" si="18"/>
        <v>82349.4331751609</v>
      </c>
      <c r="T16" s="109">
        <f>'建设期支付利息还本付息计划表  '!J28</f>
        <v>25261.276362504</v>
      </c>
      <c r="U16" s="111" t="s">
        <v>311</v>
      </c>
      <c r="V16" s="299">
        <f>E9</f>
        <v>6379.99481858648</v>
      </c>
      <c r="W16" s="111" t="s">
        <v>312</v>
      </c>
      <c r="X16" s="299">
        <f>M9</f>
        <v>155904.292320481</v>
      </c>
    </row>
    <row r="17" s="179" customFormat="1" ht="20.25" hidden="1" customHeight="1" spans="1:20">
      <c r="A17" s="282">
        <v>3.1</v>
      </c>
      <c r="B17" s="275" t="s">
        <v>330</v>
      </c>
      <c r="C17" s="276" t="s">
        <v>4</v>
      </c>
      <c r="D17" s="277">
        <f t="shared" si="13"/>
        <v>1195661.268619</v>
      </c>
      <c r="E17" s="277"/>
      <c r="F17" s="277"/>
      <c r="G17" s="277"/>
      <c r="H17" s="277"/>
      <c r="I17" s="277"/>
      <c r="J17" s="277">
        <f t="shared" ref="J17" si="19">SUM(J18:J20)</f>
        <v>119566.1268619</v>
      </c>
      <c r="K17" s="277">
        <f t="shared" ref="K17:S17" si="20">SUM(K18:K20)</f>
        <v>119566.1268619</v>
      </c>
      <c r="L17" s="277">
        <f t="shared" si="20"/>
        <v>119566.1268619</v>
      </c>
      <c r="M17" s="277">
        <f t="shared" si="20"/>
        <v>119566.1268619</v>
      </c>
      <c r="N17" s="277">
        <f t="shared" si="20"/>
        <v>119566.1268619</v>
      </c>
      <c r="O17" s="277">
        <f t="shared" si="20"/>
        <v>119566.1268619</v>
      </c>
      <c r="P17" s="277">
        <f t="shared" si="20"/>
        <v>119566.1268619</v>
      </c>
      <c r="Q17" s="277">
        <f t="shared" si="20"/>
        <v>119566.1268619</v>
      </c>
      <c r="R17" s="277">
        <f t="shared" si="20"/>
        <v>119566.1268619</v>
      </c>
      <c r="S17" s="277">
        <f t="shared" si="20"/>
        <v>119566.1268619</v>
      </c>
      <c r="T17" s="109">
        <f>'建设期支付利息还本付息计划表  '!J29</f>
        <v>0</v>
      </c>
    </row>
    <row r="18" ht="20.25" hidden="1" customHeight="1" spans="1:20">
      <c r="A18" s="283"/>
      <c r="B18" s="278"/>
      <c r="C18" s="279" t="s">
        <v>13</v>
      </c>
      <c r="D18" s="280">
        <f t="shared" si="13"/>
        <v>313761.265786</v>
      </c>
      <c r="E18" s="280"/>
      <c r="F18" s="280"/>
      <c r="G18" s="280"/>
      <c r="H18" s="280"/>
      <c r="I18" s="280"/>
      <c r="J18" s="280">
        <f>项目投资与资金筹措计划表!$D$9/10</f>
        <v>31376.1265786</v>
      </c>
      <c r="K18" s="280">
        <f>项目投资与资金筹措计划表!$D$9/10</f>
        <v>31376.1265786</v>
      </c>
      <c r="L18" s="280">
        <f>项目投资与资金筹措计划表!$D$9/10</f>
        <v>31376.1265786</v>
      </c>
      <c r="M18" s="280">
        <f>项目投资与资金筹措计划表!$D$9/10</f>
        <v>31376.1265786</v>
      </c>
      <c r="N18" s="280">
        <f>项目投资与资金筹措计划表!$D$9/10</f>
        <v>31376.1265786</v>
      </c>
      <c r="O18" s="280">
        <f>项目投资与资金筹措计划表!$D$9/10</f>
        <v>31376.1265786</v>
      </c>
      <c r="P18" s="280">
        <f>项目投资与资金筹措计划表!$D$9/10</f>
        <v>31376.1265786</v>
      </c>
      <c r="Q18" s="280">
        <f>项目投资与资金筹措计划表!$D$9/10</f>
        <v>31376.1265786</v>
      </c>
      <c r="R18" s="280">
        <f>项目投资与资金筹措计划表!$D$9/10</f>
        <v>31376.1265786</v>
      </c>
      <c r="S18" s="280">
        <f>项目投资与资金筹措计划表!$D$9/10</f>
        <v>31376.1265786</v>
      </c>
      <c r="T18" s="301">
        <f>J18+'建设期支付利息还本付息计划表  '!J26</f>
        <v>43675.5681974112</v>
      </c>
    </row>
    <row r="19" ht="20.25" hidden="1" customHeight="1" spans="1:20">
      <c r="A19" s="283"/>
      <c r="B19" s="278"/>
      <c r="C19" s="279" t="s">
        <v>14</v>
      </c>
      <c r="D19" s="280">
        <f t="shared" si="13"/>
        <v>237479.687463</v>
      </c>
      <c r="E19" s="280"/>
      <c r="F19" s="280"/>
      <c r="G19" s="280"/>
      <c r="H19" s="280"/>
      <c r="I19" s="280"/>
      <c r="J19" s="280">
        <f>项目投资与资金筹措计划表!$D$10/10</f>
        <v>23747.9687463</v>
      </c>
      <c r="K19" s="280">
        <f>项目投资与资金筹措计划表!$D$10/10</f>
        <v>23747.9687463</v>
      </c>
      <c r="L19" s="280">
        <f>项目投资与资金筹措计划表!$D$10/10</f>
        <v>23747.9687463</v>
      </c>
      <c r="M19" s="280">
        <f>项目投资与资金筹措计划表!$D$10/10</f>
        <v>23747.9687463</v>
      </c>
      <c r="N19" s="280">
        <f>项目投资与资金筹措计划表!$D$10/10</f>
        <v>23747.9687463</v>
      </c>
      <c r="O19" s="280">
        <f>项目投资与资金筹措计划表!$D$10/10</f>
        <v>23747.9687463</v>
      </c>
      <c r="P19" s="280">
        <f>项目投资与资金筹措计划表!$D$10/10</f>
        <v>23747.9687463</v>
      </c>
      <c r="Q19" s="280">
        <f>项目投资与资金筹措计划表!$D$10/10</f>
        <v>23747.9687463</v>
      </c>
      <c r="R19" s="280">
        <f>项目投资与资金筹措计划表!$D$10/10</f>
        <v>23747.9687463</v>
      </c>
      <c r="S19" s="280">
        <f>项目投资与资金筹措计划表!$D$10/10</f>
        <v>23747.9687463</v>
      </c>
      <c r="T19" s="301">
        <f>J19+'建设期支付利息还本付息计划表  '!J27</f>
        <v>33057.1724948496</v>
      </c>
    </row>
    <row r="20" ht="20.25" hidden="1" customHeight="1" spans="1:20">
      <c r="A20" s="284"/>
      <c r="B20" s="281"/>
      <c r="C20" s="279" t="s">
        <v>15</v>
      </c>
      <c r="D20" s="280">
        <f t="shared" ref="D20:D23" si="21">SUM(E20:S20)</f>
        <v>644420.31537</v>
      </c>
      <c r="E20" s="280"/>
      <c r="F20" s="280"/>
      <c r="G20" s="280"/>
      <c r="H20" s="280"/>
      <c r="I20" s="280"/>
      <c r="J20" s="280">
        <f>项目投资与资金筹措计划表!$D$11/10</f>
        <v>64442.031537</v>
      </c>
      <c r="K20" s="280">
        <f>项目投资与资金筹措计划表!$D$11/10</f>
        <v>64442.031537</v>
      </c>
      <c r="L20" s="280">
        <f>项目投资与资金筹措计划表!$D$11/10</f>
        <v>64442.031537</v>
      </c>
      <c r="M20" s="280">
        <f>项目投资与资金筹措计划表!$D$11/10</f>
        <v>64442.031537</v>
      </c>
      <c r="N20" s="280">
        <f>项目投资与资金筹措计划表!$D$11/10</f>
        <v>64442.031537</v>
      </c>
      <c r="O20" s="280">
        <f>项目投资与资金筹措计划表!$D$11/10</f>
        <v>64442.031537</v>
      </c>
      <c r="P20" s="280">
        <f>项目投资与资金筹措计划表!$D$11/10</f>
        <v>64442.031537</v>
      </c>
      <c r="Q20" s="280">
        <f>项目投资与资金筹措计划表!$D$11/10</f>
        <v>64442.031537</v>
      </c>
      <c r="R20" s="280">
        <f>项目投资与资金筹措计划表!$D$11/10</f>
        <v>64442.031537</v>
      </c>
      <c r="S20" s="280">
        <f>项目投资与资金筹措计划表!$D$11/10</f>
        <v>64442.031537</v>
      </c>
      <c r="T20" s="301">
        <f>J20+'建设期支付利息还本付息计划表  '!J28</f>
        <v>89703.307899504</v>
      </c>
    </row>
    <row r="21" s="179" customFormat="1" ht="20.25" hidden="1" customHeight="1" spans="1:20">
      <c r="A21" s="282">
        <v>3.2</v>
      </c>
      <c r="B21" s="275" t="s">
        <v>331</v>
      </c>
      <c r="C21" s="276" t="s">
        <v>4</v>
      </c>
      <c r="D21" s="277">
        <f t="shared" si="21"/>
        <v>447177.314463506</v>
      </c>
      <c r="E21" s="277"/>
      <c r="F21" s="277"/>
      <c r="G21" s="277"/>
      <c r="H21" s="277"/>
      <c r="I21" s="277"/>
      <c r="J21" s="277">
        <f t="shared" ref="J21:S21" si="22">SUM(J22:J24)</f>
        <v>81304.966266092</v>
      </c>
      <c r="K21" s="277">
        <f t="shared" si="22"/>
        <v>73174.4696394828</v>
      </c>
      <c r="L21" s="277">
        <f t="shared" si="22"/>
        <v>65043.9730128736</v>
      </c>
      <c r="M21" s="277">
        <f t="shared" si="22"/>
        <v>56913.4763862644</v>
      </c>
      <c r="N21" s="277">
        <f t="shared" si="22"/>
        <v>48782.9797596552</v>
      </c>
      <c r="O21" s="277">
        <f t="shared" si="22"/>
        <v>40652.483133046</v>
      </c>
      <c r="P21" s="277">
        <f t="shared" si="22"/>
        <v>32521.9865064368</v>
      </c>
      <c r="Q21" s="277">
        <f t="shared" si="22"/>
        <v>24391.4898798276</v>
      </c>
      <c r="R21" s="277">
        <f t="shared" si="22"/>
        <v>16260.9932532184</v>
      </c>
      <c r="S21" s="277">
        <f t="shared" si="22"/>
        <v>8130.4966266092</v>
      </c>
      <c r="T21" s="301">
        <f>T18*1.17</f>
        <v>51100.4147909711</v>
      </c>
    </row>
    <row r="22" ht="20.25" hidden="1" customHeight="1" spans="1:20">
      <c r="A22" s="283"/>
      <c r="B22" s="278"/>
      <c r="C22" s="279" t="s">
        <v>13</v>
      </c>
      <c r="D22" s="280">
        <f t="shared" si="21"/>
        <v>117346.713403964</v>
      </c>
      <c r="E22" s="280"/>
      <c r="F22" s="280"/>
      <c r="G22" s="280"/>
      <c r="H22" s="280"/>
      <c r="I22" s="280"/>
      <c r="J22" s="280">
        <f>(项目投资与资金筹措计划表!$D$9-项目投资与资金筹措计划表!$D$9/10*('建设期付息政府付费用估算表 '!E4-1))*6.8%</f>
        <v>21335.766073448</v>
      </c>
      <c r="K22" s="280">
        <f>(项目投资与资金筹措计划表!$D$9-项目投资与资金筹措计划表!$D$9/10*('建设期付息政府付费用估算表 '!F4-1))*6.8%</f>
        <v>19202.1894661032</v>
      </c>
      <c r="L22" s="280">
        <f>(项目投资与资金筹措计划表!$D$9-项目投资与资金筹措计划表!$D$9/10*('建设期付息政府付费用估算表 '!G4-1))*6.8%</f>
        <v>17068.6128587584</v>
      </c>
      <c r="M22" s="280">
        <f>(项目投资与资金筹措计划表!$D$9-项目投资与资金筹措计划表!$D$9/10*('建设期付息政府付费用估算表 '!H4-1))*6.8%</f>
        <v>14935.0362514136</v>
      </c>
      <c r="N22" s="280">
        <f>(项目投资与资金筹措计划表!$D$9-项目投资与资金筹措计划表!$D$9/10*('建设期付息政府付费用估算表 '!I4-1))*6.8%</f>
        <v>12801.4596440688</v>
      </c>
      <c r="O22" s="280">
        <f>(项目投资与资金筹措计划表!$D$9-项目投资与资金筹措计划表!$D$9/10*('建设期付息政府付费用估算表 '!J4-1))*6.8%</f>
        <v>10667.883036724</v>
      </c>
      <c r="P22" s="280">
        <f>(项目投资与资金筹措计划表!$D$9-项目投资与资金筹措计划表!$D$9/10*('建设期付息政府付费用估算表 '!K4-1))*6.8%</f>
        <v>8534.3064293792</v>
      </c>
      <c r="Q22" s="280">
        <f>(项目投资与资金筹措计划表!$D$9-项目投资与资金筹措计划表!$D$9/10*('建设期付息政府付费用估算表 '!L4-1))*6.8%</f>
        <v>6400.7298220344</v>
      </c>
      <c r="R22" s="280">
        <f>(项目投资与资金筹措计划表!$D$9-项目投资与资金筹措计划表!$D$9/10*('建设期付息政府付费用估算表 '!M4-1))*6.8%</f>
        <v>4267.1532146896</v>
      </c>
      <c r="S22" s="280">
        <f>(项目投资与资金筹措计划表!$D$9-项目投资与资金筹措计划表!$D$9/10*('建设期付息政府付费用估算表 '!N4-1))*6.8%</f>
        <v>2133.5766073448</v>
      </c>
      <c r="T22" s="301">
        <f t="shared" ref="T22:T23" si="23">T19*1.17</f>
        <v>38676.891818974</v>
      </c>
    </row>
    <row r="23" ht="20.25" hidden="1" customHeight="1" spans="1:20">
      <c r="A23" s="283"/>
      <c r="B23" s="278"/>
      <c r="C23" s="279" t="s">
        <v>14</v>
      </c>
      <c r="D23" s="280">
        <f t="shared" si="21"/>
        <v>88817.403111162</v>
      </c>
      <c r="E23" s="280"/>
      <c r="F23" s="280"/>
      <c r="G23" s="280"/>
      <c r="J23" s="280">
        <f>(项目投资与资金筹措计划表!$D$10-项目投资与资金筹措计划表!$D$10/10*('建设期付息政府付费用估算表 '!E4-1))*6.8%</f>
        <v>16148.618747484</v>
      </c>
      <c r="K23" s="280">
        <f>(项目投资与资金筹措计划表!$D$10-项目投资与资金筹措计划表!$D$10/10*('建设期付息政府付费用估算表 '!F4-1))*6.8%</f>
        <v>14533.7568727356</v>
      </c>
      <c r="L23" s="280">
        <f>(项目投资与资金筹措计划表!$D$10-项目投资与资金筹措计划表!$D$10/10*('建设期付息政府付费用估算表 '!G4-1))*6.8%</f>
        <v>12918.8949979872</v>
      </c>
      <c r="M23" s="280">
        <f>(项目投资与资金筹措计划表!$D$10-项目投资与资金筹措计划表!$D$10/10*('建设期付息政府付费用估算表 '!H4-1))*6.8%</f>
        <v>11304.0331232388</v>
      </c>
      <c r="N23" s="280">
        <f>(项目投资与资金筹措计划表!$D$10-项目投资与资金筹措计划表!$D$10/10*('建设期付息政府付费用估算表 '!I4-1))*6.8%</f>
        <v>9689.1712484904</v>
      </c>
      <c r="O23" s="280">
        <f>(项目投资与资金筹措计划表!$D$10-项目投资与资金筹措计划表!$D$10/10*('建设期付息政府付费用估算表 '!J4-1))*6.8%</f>
        <v>8074.309373742</v>
      </c>
      <c r="P23" s="280">
        <f>(项目投资与资金筹措计划表!$D$10-项目投资与资金筹措计划表!$D$10/10*('建设期付息政府付费用估算表 '!K4-1))*6.8%</f>
        <v>6459.4474989936</v>
      </c>
      <c r="Q23" s="280">
        <f>(项目投资与资金筹措计划表!$D$10-项目投资与资金筹措计划表!$D$10/10*('建设期付息政府付费用估算表 '!L4-1))*6.8%</f>
        <v>4844.5856242452</v>
      </c>
      <c r="R23" s="280">
        <f>(项目投资与资金筹措计划表!$D$10-项目投资与资金筹措计划表!$D$10/10*('建设期付息政府付费用估算表 '!M4-1))*6.8%</f>
        <v>3229.7237494968</v>
      </c>
      <c r="S23" s="280">
        <f>(项目投资与资金筹措计划表!$D$10-项目投资与资金筹措计划表!$D$10/10*('建设期付息政府付费用估算表 '!N4-1))*6.8%</f>
        <v>1614.8618747484</v>
      </c>
      <c r="T23" s="301">
        <f t="shared" si="23"/>
        <v>104952.87024242</v>
      </c>
    </row>
    <row r="24" ht="20.25" hidden="1" customHeight="1" spans="1:20">
      <c r="A24" s="284"/>
      <c r="B24" s="281"/>
      <c r="C24" s="279" t="s">
        <v>15</v>
      </c>
      <c r="D24" s="280">
        <f t="shared" ref="D24:D25" si="24">SUM(E24:S24)</f>
        <v>241013.19794838</v>
      </c>
      <c r="E24" s="280"/>
      <c r="F24" s="280"/>
      <c r="G24" s="280"/>
      <c r="H24" s="280"/>
      <c r="I24" s="280"/>
      <c r="J24" s="280">
        <f>(项目投资与资金筹措计划表!$D$11-项目投资与资金筹措计划表!$D$11/10*('建设期付息政府付费用估算表 '!E4-1))*6.8%</f>
        <v>43820.58144516</v>
      </c>
      <c r="K24" s="280">
        <f>(项目投资与资金筹措计划表!$D$11-项目投资与资金筹措计划表!$D$11/10*('建设期付息政府付费用估算表 '!F4-1))*6.8%</f>
        <v>39438.523300644</v>
      </c>
      <c r="L24" s="280">
        <f>(项目投资与资金筹措计划表!$D$11-项目投资与资金筹措计划表!$D$11/10*('建设期付息政府付费用估算表 '!G4-1))*6.8%</f>
        <v>35056.465156128</v>
      </c>
      <c r="M24" s="280">
        <f>(项目投资与资金筹措计划表!$D$11-项目投资与资金筹措计划表!$D$11/10*('建设期付息政府付费用估算表 '!H4-1))*6.8%</f>
        <v>30674.407011612</v>
      </c>
      <c r="N24" s="280">
        <f>(项目投资与资金筹措计划表!$D$11-项目投资与资金筹措计划表!$D$11/10*('建设期付息政府付费用估算表 '!I4-1))*6.8%</f>
        <v>26292.348867096</v>
      </c>
      <c r="O24" s="280">
        <f>(项目投资与资金筹措计划表!$D$11-项目投资与资金筹措计划表!$D$11/10*('建设期付息政府付费用估算表 '!J4-1))*6.8%</f>
        <v>21910.29072258</v>
      </c>
      <c r="P24" s="280">
        <f>(项目投资与资金筹措计划表!$D$11-项目投资与资金筹措计划表!$D$11/10*('建设期付息政府付费用估算表 '!K4-1))*6.8%</f>
        <v>17528.232578064</v>
      </c>
      <c r="Q24" s="280">
        <f>(项目投资与资金筹措计划表!$D$11-项目投资与资金筹措计划表!$D$11/10*('建设期付息政府付费用估算表 '!L4-1))*6.8%</f>
        <v>13146.174433548</v>
      </c>
      <c r="R24" s="280">
        <f>(项目投资与资金筹措计划表!$D$11-项目投资与资金筹措计划表!$D$11/10*('建设期付息政府付费用估算表 '!M4-1))*6.8%</f>
        <v>8764.116289032</v>
      </c>
      <c r="S24" s="280">
        <f>(项目投资与资金筹措计划表!$D$11-项目投资与资金筹措计划表!$D$11/10*('建设期付息政府付费用估算表 '!N4-1))*6.8%</f>
        <v>4382.058144516</v>
      </c>
      <c r="T24" s="166"/>
    </row>
    <row r="25" s="179" customFormat="1" ht="20.25" customHeight="1" spans="1:24">
      <c r="A25" s="282">
        <v>4</v>
      </c>
      <c r="B25" s="275" t="s">
        <v>332</v>
      </c>
      <c r="C25" s="276" t="s">
        <v>4</v>
      </c>
      <c r="D25" s="277">
        <f t="shared" si="24"/>
        <v>57249.0141329369</v>
      </c>
      <c r="E25" s="277"/>
      <c r="F25" s="277"/>
      <c r="G25" s="277"/>
      <c r="H25" s="277"/>
      <c r="I25" s="277"/>
      <c r="J25" s="277">
        <f>SUM(J26:J28)</f>
        <v>2594.524585904</v>
      </c>
      <c r="K25" s="277">
        <f t="shared" ref="K25:S25" si="25">SUM(K26:K28)</f>
        <v>3420.887664404</v>
      </c>
      <c r="L25" s="277">
        <f t="shared" si="25"/>
        <v>4950.984780212</v>
      </c>
      <c r="M25" s="277">
        <f t="shared" si="25"/>
        <v>5601.05971305784</v>
      </c>
      <c r="N25" s="277">
        <f t="shared" si="25"/>
        <v>5990.80108465896</v>
      </c>
      <c r="O25" s="277">
        <f t="shared" si="25"/>
        <v>6435.63074461208</v>
      </c>
      <c r="P25" s="277">
        <f t="shared" si="25"/>
        <v>6994.2325750618</v>
      </c>
      <c r="Q25" s="277">
        <f t="shared" si="25"/>
        <v>6994.2325750618</v>
      </c>
      <c r="R25" s="277">
        <f t="shared" si="25"/>
        <v>7024.8371797018</v>
      </c>
      <c r="S25" s="277">
        <f t="shared" si="25"/>
        <v>7241.8232302626</v>
      </c>
      <c r="T25" s="166"/>
      <c r="U25" s="111" t="s">
        <v>313</v>
      </c>
      <c r="V25" s="299">
        <f>F9</f>
        <v>18293.4831329594</v>
      </c>
      <c r="W25" s="111" t="s">
        <v>314</v>
      </c>
      <c r="X25" s="299">
        <f>N9</f>
        <v>155858.335372082</v>
      </c>
    </row>
    <row r="26" ht="20.25" customHeight="1" spans="1:24">
      <c r="A26" s="283"/>
      <c r="B26" s="278"/>
      <c r="C26" s="279" t="s">
        <v>13</v>
      </c>
      <c r="D26" s="280">
        <f t="shared" ref="D26:D28" si="26">SUM(E26:S26)</f>
        <v>14013.759507632</v>
      </c>
      <c r="E26" s="280"/>
      <c r="F26" s="280"/>
      <c r="G26" s="280"/>
      <c r="H26" s="280"/>
      <c r="I26" s="280"/>
      <c r="J26" s="280">
        <f>J30+J42+J46</f>
        <v>616.1724976</v>
      </c>
      <c r="K26" s="280">
        <f t="shared" ref="K26:S26" si="27">K30+K42+K46</f>
        <v>793.3237646</v>
      </c>
      <c r="L26" s="280">
        <f t="shared" si="27"/>
        <v>1206.7371388</v>
      </c>
      <c r="M26" s="280">
        <f t="shared" si="27"/>
        <v>1344.43119036</v>
      </c>
      <c r="N26" s="280">
        <f t="shared" si="27"/>
        <v>1446.44653916</v>
      </c>
      <c r="O26" s="280">
        <f t="shared" si="27"/>
        <v>1603.550176312</v>
      </c>
      <c r="P26" s="280">
        <f t="shared" si="27"/>
        <v>1729.52579742</v>
      </c>
      <c r="Q26" s="280">
        <f t="shared" si="27"/>
        <v>1729.52579742</v>
      </c>
      <c r="R26" s="280">
        <f t="shared" si="27"/>
        <v>1760.13040206</v>
      </c>
      <c r="S26" s="280">
        <f t="shared" si="27"/>
        <v>1783.9162039</v>
      </c>
      <c r="U26" s="111" t="s">
        <v>316</v>
      </c>
      <c r="V26" s="300">
        <f>G9</f>
        <v>29360.4701245324</v>
      </c>
      <c r="W26" s="111" t="s">
        <v>317</v>
      </c>
      <c r="X26" s="300">
        <f>O9</f>
        <v>156116.765032035</v>
      </c>
    </row>
    <row r="27" ht="20.25" customHeight="1" spans="1:24">
      <c r="A27" s="283"/>
      <c r="B27" s="278"/>
      <c r="C27" s="279" t="s">
        <v>14</v>
      </c>
      <c r="D27" s="277">
        <f t="shared" si="26"/>
        <v>10347.9069921389</v>
      </c>
      <c r="E27" s="280"/>
      <c r="F27" s="280"/>
      <c r="G27" s="280"/>
      <c r="H27" s="280"/>
      <c r="I27" s="280"/>
      <c r="J27" s="280">
        <f>J31+J43+J47</f>
        <v>521.741348504</v>
      </c>
      <c r="K27" s="280">
        <f t="shared" ref="K27:S27" si="28">K31+K43+K47</f>
        <v>697.294782504</v>
      </c>
      <c r="L27" s="280">
        <f t="shared" si="28"/>
        <v>916.687127512</v>
      </c>
      <c r="M27" s="280">
        <f t="shared" si="28"/>
        <v>1027.59474186984</v>
      </c>
      <c r="N27" s="280">
        <f t="shared" si="28"/>
        <v>1083.50112857696</v>
      </c>
      <c r="O27" s="280">
        <f t="shared" si="28"/>
        <v>1139.40751528408</v>
      </c>
      <c r="P27" s="280">
        <f t="shared" si="28"/>
        <v>1229.1435407268</v>
      </c>
      <c r="Q27" s="280">
        <f t="shared" si="28"/>
        <v>1229.1435407268</v>
      </c>
      <c r="R27" s="280">
        <f t="shared" si="28"/>
        <v>1229.1435407268</v>
      </c>
      <c r="S27" s="280">
        <f t="shared" si="28"/>
        <v>1274.2497257076</v>
      </c>
      <c r="U27" s="111" t="s">
        <v>318</v>
      </c>
      <c r="V27" s="299">
        <f>H9</f>
        <v>37887.9531477054</v>
      </c>
      <c r="W27" s="111" t="s">
        <v>319</v>
      </c>
      <c r="X27" s="299">
        <f>P9</f>
        <v>156426.068542485</v>
      </c>
    </row>
    <row r="28" ht="20.25" customHeight="1" spans="1:24">
      <c r="A28" s="284"/>
      <c r="B28" s="281"/>
      <c r="C28" s="279" t="s">
        <v>15</v>
      </c>
      <c r="D28" s="280">
        <f t="shared" si="26"/>
        <v>32887.347633166</v>
      </c>
      <c r="E28" s="280"/>
      <c r="F28" s="280"/>
      <c r="G28" s="280"/>
      <c r="H28" s="280"/>
      <c r="I28" s="280"/>
      <c r="J28" s="280">
        <f>J32+J44+J48</f>
        <v>1456.6107398</v>
      </c>
      <c r="K28" s="280">
        <f t="shared" ref="K28:S28" si="29">K32+K44+K48</f>
        <v>1930.2691173</v>
      </c>
      <c r="L28" s="280">
        <f t="shared" si="29"/>
        <v>2827.5605139</v>
      </c>
      <c r="M28" s="280">
        <f t="shared" si="29"/>
        <v>3229.033780828</v>
      </c>
      <c r="N28" s="280">
        <f t="shared" si="29"/>
        <v>3460.853416922</v>
      </c>
      <c r="O28" s="280">
        <f t="shared" si="29"/>
        <v>3692.673053016</v>
      </c>
      <c r="P28" s="280">
        <f t="shared" si="29"/>
        <v>4035.563236915</v>
      </c>
      <c r="Q28" s="280">
        <f t="shared" si="29"/>
        <v>4035.563236915</v>
      </c>
      <c r="R28" s="280">
        <f t="shared" si="29"/>
        <v>4035.563236915</v>
      </c>
      <c r="S28" s="280">
        <f t="shared" si="29"/>
        <v>4183.657300655</v>
      </c>
      <c r="U28" s="111" t="s">
        <v>320</v>
      </c>
      <c r="V28" s="299">
        <f>I9</f>
        <v>42837.5626383684</v>
      </c>
      <c r="W28" s="111" t="s">
        <v>321</v>
      </c>
      <c r="X28" s="299">
        <f>Q9</f>
        <v>156426.068542485</v>
      </c>
    </row>
    <row r="29" s="179" customFormat="1" ht="17.25" customHeight="1" spans="1:24">
      <c r="A29" s="282">
        <v>4.1</v>
      </c>
      <c r="B29" s="275" t="s">
        <v>333</v>
      </c>
      <c r="C29" s="276" t="s">
        <v>4</v>
      </c>
      <c r="D29" s="277">
        <f t="shared" ref="D29:D41" si="30">SUM(J29:S29)</f>
        <v>57249.0141329369</v>
      </c>
      <c r="E29" s="277"/>
      <c r="F29" s="277"/>
      <c r="G29" s="277"/>
      <c r="H29" s="277"/>
      <c r="I29" s="277"/>
      <c r="J29" s="277">
        <f t="shared" ref="J29:S29" si="31">SUM(J30:J32)</f>
        <v>2594.524585904</v>
      </c>
      <c r="K29" s="277">
        <f t="shared" si="31"/>
        <v>3420.887664404</v>
      </c>
      <c r="L29" s="277">
        <f t="shared" si="31"/>
        <v>4950.984780212</v>
      </c>
      <c r="M29" s="277">
        <f t="shared" si="31"/>
        <v>5601.05971305784</v>
      </c>
      <c r="N29" s="277">
        <f t="shared" si="31"/>
        <v>5990.80108465896</v>
      </c>
      <c r="O29" s="277">
        <f t="shared" si="31"/>
        <v>6435.63074461208</v>
      </c>
      <c r="P29" s="277">
        <f t="shared" si="31"/>
        <v>6994.2325750618</v>
      </c>
      <c r="Q29" s="277">
        <f t="shared" si="31"/>
        <v>6994.2325750618</v>
      </c>
      <c r="R29" s="277">
        <f t="shared" si="31"/>
        <v>7024.8371797018</v>
      </c>
      <c r="S29" s="277">
        <f t="shared" si="31"/>
        <v>7241.8232302626</v>
      </c>
      <c r="U29" s="111" t="s">
        <v>322</v>
      </c>
      <c r="V29" s="299">
        <f>J9</f>
        <v>153706.255513327</v>
      </c>
      <c r="W29" s="111" t="s">
        <v>323</v>
      </c>
      <c r="X29" s="299">
        <f>R9</f>
        <v>156207.374827125</v>
      </c>
    </row>
    <row r="30" ht="17.25" customHeight="1" spans="1:24">
      <c r="A30" s="283"/>
      <c r="B30" s="278"/>
      <c r="C30" s="279" t="s">
        <v>13</v>
      </c>
      <c r="D30" s="280">
        <f>SUM(E30:S30)</f>
        <v>14013.759507632</v>
      </c>
      <c r="E30" s="280"/>
      <c r="F30" s="280"/>
      <c r="G30" s="280"/>
      <c r="H30" s="280"/>
      <c r="I30" s="280"/>
      <c r="J30" s="280">
        <f t="shared" ref="J30:S30" si="32">J34+J38</f>
        <v>616.1724976</v>
      </c>
      <c r="K30" s="280">
        <f t="shared" si="32"/>
        <v>793.3237646</v>
      </c>
      <c r="L30" s="280">
        <f t="shared" si="32"/>
        <v>1206.7371388</v>
      </c>
      <c r="M30" s="280">
        <f t="shared" si="32"/>
        <v>1344.43119036</v>
      </c>
      <c r="N30" s="280">
        <f t="shared" si="32"/>
        <v>1446.44653916</v>
      </c>
      <c r="O30" s="280">
        <f t="shared" si="32"/>
        <v>1603.550176312</v>
      </c>
      <c r="P30" s="280">
        <f t="shared" si="32"/>
        <v>1729.52579742</v>
      </c>
      <c r="Q30" s="280">
        <f t="shared" si="32"/>
        <v>1729.52579742</v>
      </c>
      <c r="R30" s="280">
        <f t="shared" si="32"/>
        <v>1760.13040206</v>
      </c>
      <c r="S30" s="280">
        <f t="shared" si="32"/>
        <v>1783.9162039</v>
      </c>
      <c r="U30" s="111" t="s">
        <v>325</v>
      </c>
      <c r="V30" s="300">
        <f>K9</f>
        <v>154346.218591827</v>
      </c>
      <c r="W30" s="111" t="s">
        <v>326</v>
      </c>
      <c r="X30" s="300">
        <f>S9</f>
        <v>156424.360877686</v>
      </c>
    </row>
    <row r="31" ht="17.25" customHeight="1" spans="1:24">
      <c r="A31" s="283"/>
      <c r="B31" s="278"/>
      <c r="C31" s="279" t="s">
        <v>14</v>
      </c>
      <c r="D31" s="280">
        <f>SUM(E31:S31)</f>
        <v>10347.9069921389</v>
      </c>
      <c r="E31" s="280"/>
      <c r="F31" s="280"/>
      <c r="G31" s="280"/>
      <c r="H31" s="280"/>
      <c r="I31" s="280"/>
      <c r="J31" s="280">
        <f t="shared" ref="J31:S31" si="33">J35+J39</f>
        <v>521.741348504</v>
      </c>
      <c r="K31" s="280">
        <f t="shared" si="33"/>
        <v>697.294782504</v>
      </c>
      <c r="L31" s="280">
        <f t="shared" si="33"/>
        <v>916.687127512</v>
      </c>
      <c r="M31" s="280">
        <f t="shared" si="33"/>
        <v>1027.59474186984</v>
      </c>
      <c r="N31" s="280">
        <f t="shared" si="33"/>
        <v>1083.50112857696</v>
      </c>
      <c r="O31" s="280">
        <f t="shared" si="33"/>
        <v>1139.40751528408</v>
      </c>
      <c r="P31" s="280">
        <f t="shared" si="33"/>
        <v>1229.1435407268</v>
      </c>
      <c r="Q31" s="280">
        <f t="shared" si="33"/>
        <v>1229.1435407268</v>
      </c>
      <c r="R31" s="280">
        <f t="shared" si="33"/>
        <v>1229.1435407268</v>
      </c>
      <c r="S31" s="280">
        <f t="shared" si="33"/>
        <v>1274.2497257076</v>
      </c>
      <c r="U31" s="111" t="s">
        <v>327</v>
      </c>
      <c r="V31" s="299">
        <f>L9</f>
        <v>155440.617387635</v>
      </c>
      <c r="W31" s="111" t="s">
        <v>4</v>
      </c>
      <c r="X31" s="299">
        <f>D9</f>
        <v>1691615.82086932</v>
      </c>
    </row>
    <row r="32" ht="17.25" customHeight="1" spans="1:19">
      <c r="A32" s="284"/>
      <c r="B32" s="281"/>
      <c r="C32" s="279" t="s">
        <v>15</v>
      </c>
      <c r="D32" s="280">
        <f>SUM(E32:S32)</f>
        <v>32887.347633166</v>
      </c>
      <c r="E32" s="280"/>
      <c r="F32" s="280"/>
      <c r="G32" s="280"/>
      <c r="H32" s="280"/>
      <c r="I32" s="280"/>
      <c r="J32" s="280">
        <f>J36+J40</f>
        <v>1456.6107398</v>
      </c>
      <c r="K32" s="280">
        <f t="shared" ref="K32:S32" si="34">K36+K40</f>
        <v>1930.2691173</v>
      </c>
      <c r="L32" s="280">
        <f t="shared" si="34"/>
        <v>2827.5605139</v>
      </c>
      <c r="M32" s="280">
        <f t="shared" si="34"/>
        <v>3229.033780828</v>
      </c>
      <c r="N32" s="280">
        <f t="shared" si="34"/>
        <v>3460.853416922</v>
      </c>
      <c r="O32" s="280">
        <f t="shared" si="34"/>
        <v>3692.673053016</v>
      </c>
      <c r="P32" s="280">
        <f t="shared" si="34"/>
        <v>4035.563236915</v>
      </c>
      <c r="Q32" s="280">
        <f t="shared" si="34"/>
        <v>4035.563236915</v>
      </c>
      <c r="R32" s="280">
        <f t="shared" si="34"/>
        <v>4035.563236915</v>
      </c>
      <c r="S32" s="280">
        <f t="shared" si="34"/>
        <v>4183.657300655</v>
      </c>
    </row>
    <row r="33" s="179" customFormat="1" ht="17.25" customHeight="1" spans="1:19">
      <c r="A33" s="282" t="s">
        <v>334</v>
      </c>
      <c r="B33" s="275" t="s">
        <v>246</v>
      </c>
      <c r="C33" s="276" t="s">
        <v>4</v>
      </c>
      <c r="D33" s="277">
        <f t="shared" si="30"/>
        <v>27775.57865555</v>
      </c>
      <c r="E33" s="277"/>
      <c r="F33" s="277"/>
      <c r="G33" s="277"/>
      <c r="H33" s="277"/>
      <c r="I33" s="277"/>
      <c r="J33" s="277">
        <f t="shared" ref="J33:S33" si="35">SUM(J34:J36)</f>
        <v>1847.6146</v>
      </c>
      <c r="K33" s="277">
        <f t="shared" si="35"/>
        <v>2673.9776785</v>
      </c>
      <c r="L33" s="277">
        <f t="shared" si="35"/>
        <v>2710.2548225</v>
      </c>
      <c r="M33" s="277">
        <f t="shared" si="35"/>
        <v>2872.87011185</v>
      </c>
      <c r="N33" s="277">
        <f t="shared" si="35"/>
        <v>2872.87011185</v>
      </c>
      <c r="O33" s="277">
        <f t="shared" si="35"/>
        <v>2872.87011185</v>
      </c>
      <c r="P33" s="277">
        <f t="shared" si="35"/>
        <v>2954.177756525</v>
      </c>
      <c r="Q33" s="277">
        <f t="shared" si="35"/>
        <v>2954.177756525</v>
      </c>
      <c r="R33" s="277">
        <f t="shared" si="35"/>
        <v>2954.177756525</v>
      </c>
      <c r="S33" s="277">
        <f t="shared" si="35"/>
        <v>3062.587949425</v>
      </c>
    </row>
    <row r="34" ht="17.25" customHeight="1" spans="1:23">
      <c r="A34" s="283"/>
      <c r="B34" s="278"/>
      <c r="C34" s="279" t="s">
        <v>13</v>
      </c>
      <c r="D34" s="280">
        <f>SUM(E34:S34)</f>
        <v>6103.48936168</v>
      </c>
      <c r="E34" s="280"/>
      <c r="F34" s="280"/>
      <c r="G34" s="280"/>
      <c r="H34" s="280"/>
      <c r="I34" s="280"/>
      <c r="J34" s="280">
        <f>运维成本费用估算表!E23</f>
        <v>412.1418</v>
      </c>
      <c r="K34" s="280">
        <f>运维成本费用估算表!F23</f>
        <v>589.293067</v>
      </c>
      <c r="L34" s="280">
        <f>运维成本费用估算表!G23</f>
        <v>594.645046</v>
      </c>
      <c r="M34" s="280">
        <f>运维成本费用估算表!H23</f>
        <v>630.32374876</v>
      </c>
      <c r="N34" s="280">
        <f>运维成本费用估算表!I23</f>
        <v>630.32374876</v>
      </c>
      <c r="O34" s="280">
        <f>运维成本费用估算表!J23</f>
        <v>630.32374876</v>
      </c>
      <c r="P34" s="280">
        <f>运维成本费用估算表!K23</f>
        <v>648.16310014</v>
      </c>
      <c r="Q34" s="280">
        <f>运维成本费用估算表!L23</f>
        <v>648.16310014</v>
      </c>
      <c r="R34" s="280">
        <f>运维成本费用估算表!M23</f>
        <v>648.16310014</v>
      </c>
      <c r="S34" s="280">
        <f>运维成本费用估算表!N23</f>
        <v>671.94890198</v>
      </c>
      <c r="W34" s="151"/>
    </row>
    <row r="35" ht="17.25" customHeight="1" spans="1:24">
      <c r="A35" s="283"/>
      <c r="B35" s="278"/>
      <c r="C35" s="279" t="s">
        <v>14</v>
      </c>
      <c r="D35" s="280">
        <f>SUM(E35:S35)</f>
        <v>6158.09250156</v>
      </c>
      <c r="E35" s="280"/>
      <c r="F35" s="280"/>
      <c r="G35" s="280"/>
      <c r="H35" s="280"/>
      <c r="I35" s="280"/>
      <c r="J35" s="280">
        <f>运维成本费用估算表!E24</f>
        <v>416.2576</v>
      </c>
      <c r="K35" s="280">
        <f>运维成本费用估算表!F24</f>
        <v>591.811034</v>
      </c>
      <c r="L35" s="280">
        <f>运维成本费用估算表!G24</f>
        <v>600.235882</v>
      </c>
      <c r="M35" s="280">
        <f>运维成本费用估算表!H24</f>
        <v>636.25003492</v>
      </c>
      <c r="N35" s="280">
        <f>运维成本费用估算表!I24</f>
        <v>636.25003492</v>
      </c>
      <c r="O35" s="280">
        <f>运维成本费用估算表!J24</f>
        <v>636.25003492</v>
      </c>
      <c r="P35" s="280">
        <f>运维成本费用估算表!K24</f>
        <v>654.25711138</v>
      </c>
      <c r="Q35" s="280">
        <f>运维成本费用估算表!L24</f>
        <v>654.25711138</v>
      </c>
      <c r="R35" s="280">
        <f>运维成本费用估算表!M24</f>
        <v>654.25711138</v>
      </c>
      <c r="S35" s="280">
        <f>运维成本费用估算表!N24</f>
        <v>678.26654666</v>
      </c>
      <c r="X35" s="151"/>
    </row>
    <row r="36" ht="17.25" customHeight="1" spans="1:19">
      <c r="A36" s="284"/>
      <c r="B36" s="281"/>
      <c r="C36" s="279" t="s">
        <v>15</v>
      </c>
      <c r="D36" s="280">
        <f>SUM(E36:S36)</f>
        <v>15513.99679231</v>
      </c>
      <c r="E36" s="280"/>
      <c r="F36" s="280"/>
      <c r="G36" s="280"/>
      <c r="H36" s="280"/>
      <c r="I36" s="280"/>
      <c r="J36" s="280">
        <f>运维成本费用估算表!E25</f>
        <v>1019.2152</v>
      </c>
      <c r="K36" s="280">
        <f>运维成本费用估算表!F25</f>
        <v>1492.8735775</v>
      </c>
      <c r="L36" s="280">
        <f>运维成本费用估算表!G25</f>
        <v>1515.3738945</v>
      </c>
      <c r="M36" s="280">
        <f>运维成本费用估算表!H25</f>
        <v>1606.29632817</v>
      </c>
      <c r="N36" s="280">
        <f>运维成本费用估算表!I25</f>
        <v>1606.29632817</v>
      </c>
      <c r="O36" s="280">
        <f>运维成本费用估算表!J25</f>
        <v>1606.29632817</v>
      </c>
      <c r="P36" s="280">
        <f>运维成本费用估算表!K25</f>
        <v>1651.757545005</v>
      </c>
      <c r="Q36" s="280">
        <f>运维成本费用估算表!L25</f>
        <v>1651.757545005</v>
      </c>
      <c r="R36" s="280">
        <f>运维成本费用估算表!M25</f>
        <v>1651.757545005</v>
      </c>
      <c r="S36" s="280">
        <f>运维成本费用估算表!N25</f>
        <v>1712.372500785</v>
      </c>
    </row>
    <row r="37" s="179" customFormat="1" ht="17.25" customHeight="1" spans="1:19">
      <c r="A37" s="282" t="s">
        <v>335</v>
      </c>
      <c r="B37" s="275" t="s">
        <v>336</v>
      </c>
      <c r="C37" s="276" t="s">
        <v>4</v>
      </c>
      <c r="D37" s="277">
        <f t="shared" si="30"/>
        <v>29473.4354773869</v>
      </c>
      <c r="E37" s="277"/>
      <c r="F37" s="277"/>
      <c r="G37" s="277"/>
      <c r="H37" s="277"/>
      <c r="I37" s="277"/>
      <c r="J37" s="277">
        <f t="shared" ref="J37:S37" si="36">SUM(J38:J40)</f>
        <v>746.909985904</v>
      </c>
      <c r="K37" s="277">
        <f t="shared" si="36"/>
        <v>746.909985904</v>
      </c>
      <c r="L37" s="277">
        <f t="shared" si="36"/>
        <v>2240.729957712</v>
      </c>
      <c r="M37" s="277">
        <f t="shared" si="36"/>
        <v>2728.18960120784</v>
      </c>
      <c r="N37" s="277">
        <f t="shared" si="36"/>
        <v>3117.93097280896</v>
      </c>
      <c r="O37" s="277">
        <f t="shared" si="36"/>
        <v>3562.76063276208</v>
      </c>
      <c r="P37" s="277">
        <f t="shared" si="36"/>
        <v>4040.0548185368</v>
      </c>
      <c r="Q37" s="277">
        <f t="shared" si="36"/>
        <v>4040.0548185368</v>
      </c>
      <c r="R37" s="277">
        <f t="shared" si="36"/>
        <v>4070.6594231768</v>
      </c>
      <c r="S37" s="277">
        <f t="shared" si="36"/>
        <v>4179.2352808376</v>
      </c>
    </row>
    <row r="38" ht="17.25" customHeight="1" spans="1:19">
      <c r="A38" s="283"/>
      <c r="B38" s="278"/>
      <c r="C38" s="279" t="s">
        <v>13</v>
      </c>
      <c r="D38" s="280">
        <f>SUM(E38:S38)</f>
        <v>7910.270145952</v>
      </c>
      <c r="E38" s="280"/>
      <c r="F38" s="280"/>
      <c r="G38" s="280"/>
      <c r="H38" s="280"/>
      <c r="I38" s="280"/>
      <c r="J38" s="280">
        <f>运维成本费用估算表!E27</f>
        <v>204.0306976</v>
      </c>
      <c r="K38" s="280">
        <f>运维成本费用估算表!F27</f>
        <v>204.0306976</v>
      </c>
      <c r="L38" s="280">
        <f>运维成本费用估算表!G27</f>
        <v>612.0920928</v>
      </c>
      <c r="M38" s="280">
        <f>运维成本费用估算表!H27</f>
        <v>714.1074416</v>
      </c>
      <c r="N38" s="280">
        <f>运维成本费用估算表!I27</f>
        <v>816.1227904</v>
      </c>
      <c r="O38" s="280">
        <f>运维成本费用估算表!J27</f>
        <v>973.226427552</v>
      </c>
      <c r="P38" s="280">
        <f>运维成本费用估算表!K27</f>
        <v>1081.36269728</v>
      </c>
      <c r="Q38" s="280">
        <f>运维成本费用估算表!L27</f>
        <v>1081.36269728</v>
      </c>
      <c r="R38" s="280">
        <f>运维成本费用估算表!M27</f>
        <v>1111.96730192</v>
      </c>
      <c r="S38" s="280">
        <f>运维成本费用估算表!N27</f>
        <v>1111.96730192</v>
      </c>
    </row>
    <row r="39" ht="17.25" customHeight="1" spans="1:19">
      <c r="A39" s="283"/>
      <c r="B39" s="278"/>
      <c r="C39" s="279" t="s">
        <v>14</v>
      </c>
      <c r="D39" s="280">
        <f>SUM(E39:S39)</f>
        <v>4189.81449057888</v>
      </c>
      <c r="E39" s="280"/>
      <c r="F39" s="280"/>
      <c r="G39" s="280"/>
      <c r="H39" s="280"/>
      <c r="I39" s="280"/>
      <c r="J39" s="280">
        <f>运维成本费用估算表!E28</f>
        <v>105.483748504</v>
      </c>
      <c r="K39" s="280">
        <f>运维成本费用估算表!F28</f>
        <v>105.483748504</v>
      </c>
      <c r="L39" s="280">
        <f>运维成本费用估算表!G28</f>
        <v>316.451245512</v>
      </c>
      <c r="M39" s="280">
        <f>运维成本费用估算表!H28</f>
        <v>391.34470694984</v>
      </c>
      <c r="N39" s="280">
        <f>运维成本费用估算表!I28</f>
        <v>447.25109365696</v>
      </c>
      <c r="O39" s="280">
        <f>运维成本费用估算表!J28</f>
        <v>503.15748036408</v>
      </c>
      <c r="P39" s="280">
        <f>运维成本费用估算表!K28</f>
        <v>574.8864293468</v>
      </c>
      <c r="Q39" s="280">
        <f>运维成本费用估算表!L28</f>
        <v>574.8864293468</v>
      </c>
      <c r="R39" s="280">
        <f>运维成本费用估算表!M28</f>
        <v>574.8864293468</v>
      </c>
      <c r="S39" s="280">
        <f>运维成本费用估算表!N28</f>
        <v>595.9831790476</v>
      </c>
    </row>
    <row r="40" ht="17.25" customHeight="1" spans="1:19">
      <c r="A40" s="284"/>
      <c r="B40" s="281"/>
      <c r="C40" s="279" t="s">
        <v>15</v>
      </c>
      <c r="D40" s="280">
        <f>SUM(E40:S40)</f>
        <v>17373.350840856</v>
      </c>
      <c r="E40" s="280"/>
      <c r="F40" s="280"/>
      <c r="G40" s="280"/>
      <c r="H40" s="280"/>
      <c r="I40" s="280"/>
      <c r="J40" s="280">
        <f>运维成本费用估算表!E29</f>
        <v>437.3955398</v>
      </c>
      <c r="K40" s="280">
        <f>运维成本费用估算表!F29</f>
        <v>437.3955398</v>
      </c>
      <c r="L40" s="280">
        <f>运维成本费用估算表!G29</f>
        <v>1312.1866194</v>
      </c>
      <c r="M40" s="280">
        <f>运维成本费用估算表!H29</f>
        <v>1622.737452658</v>
      </c>
      <c r="N40" s="280">
        <f>运维成本费用估算表!I29</f>
        <v>1854.557088752</v>
      </c>
      <c r="O40" s="280">
        <f>运维成本费用估算表!J29</f>
        <v>2086.376724846</v>
      </c>
      <c r="P40" s="280">
        <f>运维成本费用估算表!K29</f>
        <v>2383.80569191</v>
      </c>
      <c r="Q40" s="280">
        <f>运维成本费用估算表!L29</f>
        <v>2383.80569191</v>
      </c>
      <c r="R40" s="280">
        <f>运维成本费用估算表!M29</f>
        <v>2383.80569191</v>
      </c>
      <c r="S40" s="280">
        <f>运维成本费用估算表!N29</f>
        <v>2471.28479987</v>
      </c>
    </row>
    <row r="41" s="179" customFormat="1" ht="17.25" customHeight="1" spans="1:19">
      <c r="A41" s="285">
        <v>4.2</v>
      </c>
      <c r="B41" s="286" t="s">
        <v>337</v>
      </c>
      <c r="C41" s="276" t="s">
        <v>4</v>
      </c>
      <c r="D41" s="277">
        <f t="shared" si="30"/>
        <v>0</v>
      </c>
      <c r="E41" s="277"/>
      <c r="F41" s="277"/>
      <c r="G41" s="277"/>
      <c r="H41" s="277"/>
      <c r="I41" s="277"/>
      <c r="J41" s="290">
        <f>SUM(J42:J44)</f>
        <v>0</v>
      </c>
      <c r="K41" s="290">
        <f t="shared" ref="K41:S41" si="37">SUM(K42:K44)</f>
        <v>0</v>
      </c>
      <c r="L41" s="290">
        <f t="shared" si="37"/>
        <v>0</v>
      </c>
      <c r="M41" s="290">
        <f t="shared" si="37"/>
        <v>0</v>
      </c>
      <c r="N41" s="290">
        <f t="shared" si="37"/>
        <v>0</v>
      </c>
      <c r="O41" s="290">
        <f t="shared" si="37"/>
        <v>0</v>
      </c>
      <c r="P41" s="290">
        <f t="shared" si="37"/>
        <v>0</v>
      </c>
      <c r="Q41" s="290">
        <f t="shared" si="37"/>
        <v>0</v>
      </c>
      <c r="R41" s="290">
        <f t="shared" si="37"/>
        <v>0</v>
      </c>
      <c r="S41" s="290">
        <f t="shared" si="37"/>
        <v>0</v>
      </c>
    </row>
    <row r="42" ht="17.25" customHeight="1" spans="1:19">
      <c r="A42" s="285"/>
      <c r="B42" s="286"/>
      <c r="C42" s="279" t="s">
        <v>13</v>
      </c>
      <c r="D42" s="280">
        <f>SUM(E42:S42)</f>
        <v>0</v>
      </c>
      <c r="E42" s="280"/>
      <c r="F42" s="280"/>
      <c r="G42" s="280"/>
      <c r="H42" s="280"/>
      <c r="I42" s="280"/>
      <c r="J42" s="291">
        <f>运维成本费用估算表!E32</f>
        <v>0</v>
      </c>
      <c r="K42" s="291">
        <f>运维成本费用估算表!F32</f>
        <v>0</v>
      </c>
      <c r="L42" s="291">
        <f>运维成本费用估算表!G32</f>
        <v>0</v>
      </c>
      <c r="M42" s="291">
        <f>运维成本费用估算表!H32</f>
        <v>0</v>
      </c>
      <c r="N42" s="291">
        <f>运维成本费用估算表!I32</f>
        <v>0</v>
      </c>
      <c r="O42" s="291">
        <f>运维成本费用估算表!J32</f>
        <v>0</v>
      </c>
      <c r="P42" s="291">
        <f>运维成本费用估算表!K32</f>
        <v>0</v>
      </c>
      <c r="Q42" s="291">
        <f>运维成本费用估算表!L32</f>
        <v>0</v>
      </c>
      <c r="R42" s="291">
        <f>运维成本费用估算表!M32</f>
        <v>0</v>
      </c>
      <c r="S42" s="291">
        <f>运维成本费用估算表!N32</f>
        <v>0</v>
      </c>
    </row>
    <row r="43" ht="17.25" customHeight="1" spans="1:19">
      <c r="A43" s="285"/>
      <c r="B43" s="286"/>
      <c r="C43" s="279" t="s">
        <v>14</v>
      </c>
      <c r="D43" s="280">
        <f>SUM(E43:S43)</f>
        <v>0</v>
      </c>
      <c r="E43" s="280"/>
      <c r="F43" s="280"/>
      <c r="G43" s="280"/>
      <c r="H43" s="280"/>
      <c r="I43" s="280"/>
      <c r="J43" s="291">
        <f>运维成本费用估算表!E33</f>
        <v>0</v>
      </c>
      <c r="K43" s="291">
        <f>运维成本费用估算表!F33</f>
        <v>0</v>
      </c>
      <c r="L43" s="291">
        <f>运维成本费用估算表!G33</f>
        <v>0</v>
      </c>
      <c r="M43" s="291">
        <f>运维成本费用估算表!H33</f>
        <v>0</v>
      </c>
      <c r="N43" s="291">
        <f>运维成本费用估算表!I33</f>
        <v>0</v>
      </c>
      <c r="O43" s="291">
        <f>运维成本费用估算表!J33</f>
        <v>0</v>
      </c>
      <c r="P43" s="291">
        <f>运维成本费用估算表!K33</f>
        <v>0</v>
      </c>
      <c r="Q43" s="291">
        <f>运维成本费用估算表!L33</f>
        <v>0</v>
      </c>
      <c r="R43" s="291">
        <f>运维成本费用估算表!M33</f>
        <v>0</v>
      </c>
      <c r="S43" s="291">
        <f>运维成本费用估算表!N33</f>
        <v>0</v>
      </c>
    </row>
    <row r="44" ht="17.25" customHeight="1" spans="1:19">
      <c r="A44" s="285"/>
      <c r="B44" s="286"/>
      <c r="C44" s="279" t="s">
        <v>15</v>
      </c>
      <c r="D44" s="280">
        <f>SUM(E44:S44)</f>
        <v>0</v>
      </c>
      <c r="E44" s="280"/>
      <c r="F44" s="280"/>
      <c r="G44" s="280"/>
      <c r="H44" s="280"/>
      <c r="I44" s="280"/>
      <c r="J44" s="291">
        <f>运维成本费用估算表!E34</f>
        <v>0</v>
      </c>
      <c r="K44" s="291">
        <f>运维成本费用估算表!F34</f>
        <v>0</v>
      </c>
      <c r="L44" s="291">
        <f>运维成本费用估算表!G34</f>
        <v>0</v>
      </c>
      <c r="M44" s="291">
        <f>运维成本费用估算表!H34</f>
        <v>0</v>
      </c>
      <c r="N44" s="291">
        <f>运维成本费用估算表!I34</f>
        <v>0</v>
      </c>
      <c r="O44" s="291">
        <f>运维成本费用估算表!J34</f>
        <v>0</v>
      </c>
      <c r="P44" s="291">
        <f>运维成本费用估算表!K34</f>
        <v>0</v>
      </c>
      <c r="Q44" s="291">
        <f>运维成本费用估算表!L34</f>
        <v>0</v>
      </c>
      <c r="R44" s="291">
        <f>运维成本费用估算表!M34</f>
        <v>0</v>
      </c>
      <c r="S44" s="291">
        <f>运维成本费用估算表!N34</f>
        <v>0</v>
      </c>
    </row>
    <row r="45" ht="17.25" customHeight="1" spans="1:19">
      <c r="A45" s="282">
        <v>4.3</v>
      </c>
      <c r="B45" s="275" t="s">
        <v>338</v>
      </c>
      <c r="C45" s="276" t="s">
        <v>4</v>
      </c>
      <c r="D45" s="287">
        <f>SUM(J45:S45)</f>
        <v>0</v>
      </c>
      <c r="E45" s="276"/>
      <c r="F45" s="276"/>
      <c r="G45" s="276"/>
      <c r="H45" s="276"/>
      <c r="I45" s="276"/>
      <c r="J45" s="292">
        <f>SUM(J46:J48)</f>
        <v>0</v>
      </c>
      <c r="K45" s="292">
        <f t="shared" ref="K45:S45" si="38">SUM(K46:K48)</f>
        <v>0</v>
      </c>
      <c r="L45" s="292">
        <f t="shared" si="38"/>
        <v>0</v>
      </c>
      <c r="M45" s="292">
        <f t="shared" si="38"/>
        <v>0</v>
      </c>
      <c r="N45" s="292">
        <f t="shared" si="38"/>
        <v>0</v>
      </c>
      <c r="O45" s="292">
        <f t="shared" si="38"/>
        <v>0</v>
      </c>
      <c r="P45" s="292">
        <f t="shared" si="38"/>
        <v>0</v>
      </c>
      <c r="Q45" s="292">
        <f t="shared" si="38"/>
        <v>0</v>
      </c>
      <c r="R45" s="292">
        <f t="shared" si="38"/>
        <v>0</v>
      </c>
      <c r="S45" s="292">
        <f t="shared" si="38"/>
        <v>0</v>
      </c>
    </row>
    <row r="46" ht="17.25" customHeight="1" spans="1:19">
      <c r="A46" s="283"/>
      <c r="B46" s="278"/>
      <c r="C46" s="279" t="s">
        <v>13</v>
      </c>
      <c r="D46" s="279"/>
      <c r="E46" s="279"/>
      <c r="F46" s="279"/>
      <c r="G46" s="279"/>
      <c r="H46" s="279"/>
      <c r="I46" s="279"/>
      <c r="J46" s="293">
        <f>运维成本费用估算表!E36</f>
        <v>0</v>
      </c>
      <c r="K46" s="293">
        <f>运维成本费用估算表!F36</f>
        <v>0</v>
      </c>
      <c r="L46" s="293">
        <f>运维成本费用估算表!G36</f>
        <v>0</v>
      </c>
      <c r="M46" s="293">
        <f>运维成本费用估算表!H36</f>
        <v>0</v>
      </c>
      <c r="N46" s="293">
        <f>运维成本费用估算表!I36</f>
        <v>0</v>
      </c>
      <c r="O46" s="293">
        <f>运维成本费用估算表!J36</f>
        <v>0</v>
      </c>
      <c r="P46" s="293">
        <f>运维成本费用估算表!K36</f>
        <v>0</v>
      </c>
      <c r="Q46" s="293">
        <f>运维成本费用估算表!L36</f>
        <v>0</v>
      </c>
      <c r="R46" s="293">
        <f>运维成本费用估算表!M36</f>
        <v>0</v>
      </c>
      <c r="S46" s="293">
        <f>运维成本费用估算表!N36</f>
        <v>0</v>
      </c>
    </row>
    <row r="47" ht="17.25" customHeight="1" spans="1:19">
      <c r="A47" s="283"/>
      <c r="B47" s="278"/>
      <c r="C47" s="279" t="s">
        <v>14</v>
      </c>
      <c r="D47" s="279"/>
      <c r="E47" s="279"/>
      <c r="F47" s="279"/>
      <c r="G47" s="279"/>
      <c r="H47" s="279"/>
      <c r="I47" s="279"/>
      <c r="J47" s="293">
        <f>运维成本费用估算表!E37</f>
        <v>0</v>
      </c>
      <c r="K47" s="293">
        <f>运维成本费用估算表!F37</f>
        <v>0</v>
      </c>
      <c r="L47" s="293">
        <f>运维成本费用估算表!G37</f>
        <v>0</v>
      </c>
      <c r="M47" s="293">
        <f>运维成本费用估算表!H37</f>
        <v>0</v>
      </c>
      <c r="N47" s="293">
        <f>运维成本费用估算表!I37</f>
        <v>0</v>
      </c>
      <c r="O47" s="293">
        <f>运维成本费用估算表!J37</f>
        <v>0</v>
      </c>
      <c r="P47" s="293">
        <f>运维成本费用估算表!K37</f>
        <v>0</v>
      </c>
      <c r="Q47" s="293">
        <f>运维成本费用估算表!L37</f>
        <v>0</v>
      </c>
      <c r="R47" s="293">
        <f>运维成本费用估算表!M37</f>
        <v>0</v>
      </c>
      <c r="S47" s="293">
        <f>运维成本费用估算表!N37</f>
        <v>0</v>
      </c>
    </row>
    <row r="48" ht="17.25" customHeight="1" spans="1:19">
      <c r="A48" s="284"/>
      <c r="B48" s="281"/>
      <c r="C48" s="279" t="s">
        <v>15</v>
      </c>
      <c r="D48" s="279"/>
      <c r="E48" s="279"/>
      <c r="F48" s="279"/>
      <c r="G48" s="279"/>
      <c r="H48" s="279"/>
      <c r="I48" s="279"/>
      <c r="J48" s="293">
        <f>运维成本费用估算表!E38</f>
        <v>0</v>
      </c>
      <c r="K48" s="293">
        <f>运维成本费用估算表!F38</f>
        <v>0</v>
      </c>
      <c r="L48" s="293">
        <f>运维成本费用估算表!G38</f>
        <v>0</v>
      </c>
      <c r="M48" s="293">
        <f>运维成本费用估算表!H38</f>
        <v>0</v>
      </c>
      <c r="N48" s="293">
        <f>运维成本费用估算表!I38</f>
        <v>0</v>
      </c>
      <c r="O48" s="293">
        <f>运维成本费用估算表!J38</f>
        <v>0</v>
      </c>
      <c r="P48" s="293">
        <f>运维成本费用估算表!K38</f>
        <v>0</v>
      </c>
      <c r="Q48" s="293">
        <f>运维成本费用估算表!L38</f>
        <v>0</v>
      </c>
      <c r="R48" s="293">
        <f>运维成本费用估算表!M38</f>
        <v>0</v>
      </c>
      <c r="S48" s="293">
        <f>运维成本费用估算表!N38</f>
        <v>0</v>
      </c>
    </row>
    <row r="49" s="179" customFormat="1" ht="17.25" customHeight="1" spans="1:24">
      <c r="A49" s="285">
        <v>5</v>
      </c>
      <c r="B49" s="286" t="s">
        <v>48</v>
      </c>
      <c r="C49" s="276" t="s">
        <v>4</v>
      </c>
      <c r="D49" s="277">
        <f t="shared" ref="D49:D52" si="39">SUM(E49:S49)</f>
        <v>28308.916</v>
      </c>
      <c r="E49" s="277">
        <f>SUM(E50:E52)</f>
        <v>0</v>
      </c>
      <c r="F49" s="277">
        <f t="shared" ref="F49:S49" si="40">SUM(F50:F52)</f>
        <v>0</v>
      </c>
      <c r="G49" s="277">
        <f t="shared" si="40"/>
        <v>0</v>
      </c>
      <c r="H49" s="277">
        <f t="shared" si="40"/>
        <v>0</v>
      </c>
      <c r="I49" s="277">
        <f t="shared" si="40"/>
        <v>0</v>
      </c>
      <c r="J49" s="277">
        <f t="shared" si="40"/>
        <v>1679.89496</v>
      </c>
      <c r="K49" s="277">
        <f t="shared" si="40"/>
        <v>1866.29496</v>
      </c>
      <c r="L49" s="277">
        <f t="shared" si="40"/>
        <v>2301.99328</v>
      </c>
      <c r="M49" s="277">
        <f t="shared" si="40"/>
        <v>2488.39328</v>
      </c>
      <c r="N49" s="277">
        <f t="shared" si="40"/>
        <v>2924.0916</v>
      </c>
      <c r="O49" s="277">
        <f t="shared" si="40"/>
        <v>3110.4916</v>
      </c>
      <c r="P49" s="277">
        <f t="shared" si="40"/>
        <v>3359.78992</v>
      </c>
      <c r="Q49" s="277">
        <f t="shared" si="40"/>
        <v>3359.78992</v>
      </c>
      <c r="R49" s="277">
        <f t="shared" si="40"/>
        <v>3609.08824</v>
      </c>
      <c r="S49" s="277">
        <f t="shared" si="40"/>
        <v>3609.08824</v>
      </c>
      <c r="U49" s="109"/>
      <c r="V49" s="109"/>
      <c r="W49" s="109"/>
      <c r="X49" s="109"/>
    </row>
    <row r="50" ht="17.25" customHeight="1" spans="1:19">
      <c r="A50" s="285"/>
      <c r="B50" s="286"/>
      <c r="C50" s="279" t="s">
        <v>13</v>
      </c>
      <c r="D50" s="280">
        <f t="shared" si="39"/>
        <v>4780.74</v>
      </c>
      <c r="E50" s="280">
        <f>使用者付费!F5</f>
        <v>0</v>
      </c>
      <c r="F50" s="280">
        <f>使用者付费!G5</f>
        <v>0</v>
      </c>
      <c r="G50" s="280">
        <f>使用者付费!H5</f>
        <v>0</v>
      </c>
      <c r="H50" s="280">
        <f>使用者付费!I5</f>
        <v>0</v>
      </c>
      <c r="I50" s="280">
        <f>使用者付费!J5</f>
        <v>0</v>
      </c>
      <c r="J50" s="280">
        <f>使用者付费!K5</f>
        <v>282.8844</v>
      </c>
      <c r="K50" s="280">
        <f>使用者付费!L5</f>
        <v>322.4844</v>
      </c>
      <c r="L50" s="280">
        <f>使用者付费!M5</f>
        <v>390.3792</v>
      </c>
      <c r="M50" s="280">
        <f>使用者付费!N5</f>
        <v>429.9792</v>
      </c>
      <c r="N50" s="280">
        <f>使用者付费!O5</f>
        <v>497.874</v>
      </c>
      <c r="O50" s="280">
        <f>使用者付费!P5</f>
        <v>537.474</v>
      </c>
      <c r="P50" s="280">
        <f>使用者付费!Q5</f>
        <v>565.7688</v>
      </c>
      <c r="Q50" s="280">
        <f>使用者付费!R5</f>
        <v>565.7688</v>
      </c>
      <c r="R50" s="280">
        <f>使用者付费!S5</f>
        <v>594.0636</v>
      </c>
      <c r="S50" s="280">
        <f>使用者付费!T5</f>
        <v>594.0636</v>
      </c>
    </row>
    <row r="51" ht="17.25" customHeight="1" spans="1:19">
      <c r="A51" s="285"/>
      <c r="B51" s="286"/>
      <c r="C51" s="279" t="s">
        <v>14</v>
      </c>
      <c r="D51" s="280">
        <f t="shared" si="39"/>
        <v>5571.916</v>
      </c>
      <c r="E51" s="280">
        <f>使用者付费!F6</f>
        <v>0</v>
      </c>
      <c r="F51" s="280">
        <f>使用者付费!G6</f>
        <v>0</v>
      </c>
      <c r="G51" s="280">
        <f>使用者付费!H6</f>
        <v>0</v>
      </c>
      <c r="H51" s="280">
        <f>使用者付费!I6</f>
        <v>0</v>
      </c>
      <c r="I51" s="280">
        <f>使用者付费!J6</f>
        <v>0</v>
      </c>
      <c r="J51" s="280">
        <f>使用者付费!K6</f>
        <v>331.15496</v>
      </c>
      <c r="K51" s="280">
        <f>使用者付费!L6</f>
        <v>362.75496</v>
      </c>
      <c r="L51" s="280">
        <f>使用者付费!M6</f>
        <v>452.07328</v>
      </c>
      <c r="M51" s="280">
        <f>使用者付费!N6</f>
        <v>483.67328</v>
      </c>
      <c r="N51" s="280">
        <f>使用者付费!O6</f>
        <v>572.9916</v>
      </c>
      <c r="O51" s="280">
        <f>使用者付费!P6</f>
        <v>604.5916</v>
      </c>
      <c r="P51" s="280">
        <f>使用者付费!Q6</f>
        <v>662.30992</v>
      </c>
      <c r="Q51" s="280">
        <f>使用者付费!R6</f>
        <v>662.30992</v>
      </c>
      <c r="R51" s="280">
        <f>使用者付费!S6</f>
        <v>720.02824</v>
      </c>
      <c r="S51" s="280">
        <f>使用者付费!T6</f>
        <v>720.02824</v>
      </c>
    </row>
    <row r="52" ht="17.25" customHeight="1" spans="1:19">
      <c r="A52" s="285"/>
      <c r="B52" s="286"/>
      <c r="C52" s="279" t="s">
        <v>15</v>
      </c>
      <c r="D52" s="280">
        <f t="shared" si="39"/>
        <v>17956.26</v>
      </c>
      <c r="E52" s="280">
        <f>使用者付费!F7</f>
        <v>0</v>
      </c>
      <c r="F52" s="280">
        <f>使用者付费!G7</f>
        <v>0</v>
      </c>
      <c r="G52" s="280">
        <f>使用者付费!H7</f>
        <v>0</v>
      </c>
      <c r="H52" s="280">
        <f>使用者付费!I7</f>
        <v>0</v>
      </c>
      <c r="I52" s="280">
        <f>使用者付费!J7</f>
        <v>0</v>
      </c>
      <c r="J52" s="280">
        <f>使用者付费!K7</f>
        <v>1065.8556</v>
      </c>
      <c r="K52" s="280">
        <f>使用者付费!L7</f>
        <v>1181.0556</v>
      </c>
      <c r="L52" s="280">
        <f>使用者付费!M7</f>
        <v>1459.5408</v>
      </c>
      <c r="M52" s="280">
        <f>使用者付费!N7</f>
        <v>1574.7408</v>
      </c>
      <c r="N52" s="280">
        <f>使用者付费!O7</f>
        <v>1853.226</v>
      </c>
      <c r="O52" s="280">
        <f>使用者付费!P7</f>
        <v>1968.426</v>
      </c>
      <c r="P52" s="280">
        <f>使用者付费!Q7</f>
        <v>2131.7112</v>
      </c>
      <c r="Q52" s="280">
        <f>使用者付费!R7</f>
        <v>2131.7112</v>
      </c>
      <c r="R52" s="280">
        <f>使用者付费!S7</f>
        <v>2294.9964</v>
      </c>
      <c r="S52" s="280">
        <f>使用者付费!T7</f>
        <v>2294.9964</v>
      </c>
    </row>
    <row r="57" spans="8:10">
      <c r="H57" s="172"/>
      <c r="J57" s="151"/>
    </row>
    <row r="59" spans="10:10">
      <c r="J59" s="166"/>
    </row>
  </sheetData>
  <mergeCells count="33">
    <mergeCell ref="A1:Q1"/>
    <mergeCell ref="U1:X1"/>
    <mergeCell ref="E2:I2"/>
    <mergeCell ref="J2:S2"/>
    <mergeCell ref="A2:A4"/>
    <mergeCell ref="A5:A8"/>
    <mergeCell ref="A9:A12"/>
    <mergeCell ref="A13:A16"/>
    <mergeCell ref="A17:A20"/>
    <mergeCell ref="A21:A24"/>
    <mergeCell ref="A25:A28"/>
    <mergeCell ref="A29:A32"/>
    <mergeCell ref="A33:A36"/>
    <mergeCell ref="A37:A40"/>
    <mergeCell ref="A41:A44"/>
    <mergeCell ref="A45:A48"/>
    <mergeCell ref="A49:A52"/>
    <mergeCell ref="B2:B4"/>
    <mergeCell ref="B5:B8"/>
    <mergeCell ref="B9:B12"/>
    <mergeCell ref="B13:B16"/>
    <mergeCell ref="B17:B20"/>
    <mergeCell ref="B21:B24"/>
    <mergeCell ref="B25:B28"/>
    <mergeCell ref="B29:B32"/>
    <mergeCell ref="B33:B36"/>
    <mergeCell ref="B37:B40"/>
    <mergeCell ref="B41:B44"/>
    <mergeCell ref="B45:B48"/>
    <mergeCell ref="B49:B52"/>
    <mergeCell ref="C2:C4"/>
    <mergeCell ref="D2:D4"/>
    <mergeCell ref="U13:X14"/>
  </mergeCells>
  <pageMargins left="0.699305555555556" right="0.699305555555556" top="0.75" bottom="0.75" header="0.3" footer="0.3"/>
  <pageSetup paperSize="9" orientation="landscape"/>
  <headerFooter/>
  <ignoredErrors>
    <ignoredError sqref="D37 D41 D29 D33" formula="1"/>
  </ignoredError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70C0"/>
  </sheetPr>
  <dimension ref="A1:XFD126"/>
  <sheetViews>
    <sheetView zoomScale="85" zoomScaleNormal="85" workbookViewId="0">
      <pane xSplit="3" ySplit="4" topLeftCell="D5" activePane="bottomRight" state="frozen"/>
      <selection/>
      <selection pane="topRight"/>
      <selection pane="bottomLeft"/>
      <selection pane="bottomRight" activeCell="F126" sqref="F126"/>
    </sheetView>
  </sheetViews>
  <sheetFormatPr defaultColWidth="9" defaultRowHeight="14.25"/>
  <cols>
    <col min="1" max="1" width="4.875" style="176" customWidth="1"/>
    <col min="2" max="2" width="27.6416666666667" style="181" customWidth="1"/>
    <col min="3" max="3" width="6.375" style="181" hidden="1" customWidth="1"/>
    <col min="4" max="4" width="15.25" style="182" customWidth="1"/>
    <col min="5" max="6" width="13.375" style="182" customWidth="1"/>
    <col min="7" max="10" width="12.75" style="182" customWidth="1"/>
    <col min="11" max="17" width="13.375" style="182" customWidth="1"/>
    <col min="18" max="18" width="11.625" style="182" customWidth="1"/>
    <col min="19" max="19" width="11.25" style="182" customWidth="1"/>
    <col min="20" max="20" width="10.75" style="181" customWidth="1"/>
    <col min="21" max="21" width="14" style="181" customWidth="1"/>
    <col min="22" max="22" width="15.25" style="181" customWidth="1"/>
    <col min="23" max="26" width="9" style="181"/>
    <col min="29" max="29" width="11" customWidth="1"/>
  </cols>
  <sheetData>
    <row r="1" ht="32.25" customHeight="1" spans="1:19">
      <c r="A1" s="183" t="s">
        <v>339</v>
      </c>
      <c r="B1" s="183"/>
      <c r="C1" s="183"/>
      <c r="D1" s="183"/>
      <c r="E1" s="183"/>
      <c r="F1" s="183"/>
      <c r="G1" s="183"/>
      <c r="H1" s="183"/>
      <c r="I1" s="183"/>
      <c r="J1" s="183"/>
      <c r="K1" s="183"/>
      <c r="L1" s="183"/>
      <c r="M1" s="183"/>
      <c r="N1" s="183"/>
      <c r="O1" s="183"/>
      <c r="P1" s="183"/>
      <c r="Q1" s="183"/>
      <c r="R1" s="183"/>
      <c r="S1" s="183"/>
    </row>
    <row r="2" spans="1:19">
      <c r="A2" s="184" t="s">
        <v>1</v>
      </c>
      <c r="B2" s="185" t="s">
        <v>2</v>
      </c>
      <c r="C2" s="186" t="s">
        <v>3</v>
      </c>
      <c r="D2" s="187" t="s">
        <v>4</v>
      </c>
      <c r="E2" s="187" t="s">
        <v>5</v>
      </c>
      <c r="F2" s="188"/>
      <c r="G2" s="188"/>
      <c r="H2" s="188"/>
      <c r="I2" s="188"/>
      <c r="J2" s="187" t="s">
        <v>43</v>
      </c>
      <c r="K2" s="187"/>
      <c r="L2" s="187"/>
      <c r="M2" s="187"/>
      <c r="N2" s="187"/>
      <c r="O2" s="187"/>
      <c r="P2" s="187"/>
      <c r="Q2" s="187"/>
      <c r="R2" s="187"/>
      <c r="S2" s="187"/>
    </row>
    <row r="3" spans="1:19">
      <c r="A3" s="184"/>
      <c r="B3" s="185"/>
      <c r="C3" s="189"/>
      <c r="D3" s="187"/>
      <c r="E3" s="187" t="s">
        <v>6</v>
      </c>
      <c r="F3" s="187" t="s">
        <v>7</v>
      </c>
      <c r="G3" s="187" t="s">
        <v>8</v>
      </c>
      <c r="H3" s="187" t="s">
        <v>9</v>
      </c>
      <c r="I3" s="187" t="s">
        <v>10</v>
      </c>
      <c r="J3" s="187" t="s">
        <v>235</v>
      </c>
      <c r="K3" s="187" t="s">
        <v>236</v>
      </c>
      <c r="L3" s="187" t="s">
        <v>237</v>
      </c>
      <c r="M3" s="187" t="s">
        <v>238</v>
      </c>
      <c r="N3" s="187" t="s">
        <v>239</v>
      </c>
      <c r="O3" s="187" t="s">
        <v>240</v>
      </c>
      <c r="P3" s="187" t="s">
        <v>241</v>
      </c>
      <c r="Q3" s="187" t="s">
        <v>242</v>
      </c>
      <c r="R3" s="187" t="s">
        <v>243</v>
      </c>
      <c r="S3" s="187" t="s">
        <v>244</v>
      </c>
    </row>
    <row r="4" s="176" customFormat="1" ht="15.75" customHeight="1" spans="1:19">
      <c r="A4" s="184"/>
      <c r="B4" s="185"/>
      <c r="C4" s="190"/>
      <c r="D4" s="187"/>
      <c r="E4" s="191">
        <v>1</v>
      </c>
      <c r="F4" s="191">
        <v>2</v>
      </c>
      <c r="G4" s="191">
        <v>3</v>
      </c>
      <c r="H4" s="191">
        <v>4</v>
      </c>
      <c r="I4" s="191">
        <v>5</v>
      </c>
      <c r="J4" s="191">
        <v>1</v>
      </c>
      <c r="K4" s="191">
        <v>2</v>
      </c>
      <c r="L4" s="191">
        <v>3</v>
      </c>
      <c r="M4" s="191">
        <v>4</v>
      </c>
      <c r="N4" s="191">
        <v>5</v>
      </c>
      <c r="O4" s="191">
        <v>6</v>
      </c>
      <c r="P4" s="191">
        <v>7</v>
      </c>
      <c r="Q4" s="191">
        <v>8</v>
      </c>
      <c r="R4" s="191">
        <v>9</v>
      </c>
      <c r="S4" s="191">
        <v>10</v>
      </c>
    </row>
    <row r="5" s="177" customFormat="1" ht="18" customHeight="1" spans="1:26">
      <c r="A5" s="192">
        <v>1</v>
      </c>
      <c r="B5" s="193" t="s">
        <v>340</v>
      </c>
      <c r="C5" s="194" t="s">
        <v>4</v>
      </c>
      <c r="D5" s="195">
        <f>SUM(E5:S5)</f>
        <v>1629227.25431489</v>
      </c>
      <c r="E5" s="195">
        <f>E9+E13+E17</f>
        <v>6379.99481858648</v>
      </c>
      <c r="F5" s="195">
        <f t="shared" ref="F5:S5" si="0">F9+F13+F17</f>
        <v>18293.4831329594</v>
      </c>
      <c r="G5" s="195">
        <f t="shared" si="0"/>
        <v>29360.4701245324</v>
      </c>
      <c r="H5" s="195">
        <f t="shared" si="0"/>
        <v>37887.9531477054</v>
      </c>
      <c r="I5" s="195">
        <f t="shared" si="0"/>
        <v>42837.5626383684</v>
      </c>
      <c r="J5" s="195">
        <f t="shared" si="0"/>
        <v>146533.078664031</v>
      </c>
      <c r="K5" s="195">
        <f t="shared" si="0"/>
        <v>147306.271962787</v>
      </c>
      <c r="L5" s="195">
        <f t="shared" si="0"/>
        <v>148734.813038764</v>
      </c>
      <c r="M5" s="195">
        <f t="shared" si="0"/>
        <v>149341.696766149</v>
      </c>
      <c r="N5" s="195">
        <f t="shared" si="0"/>
        <v>149694.43053627</v>
      </c>
      <c r="O5" s="195">
        <f t="shared" si="0"/>
        <v>150107.686647718</v>
      </c>
      <c r="P5" s="195">
        <f t="shared" si="0"/>
        <v>150626.117248657</v>
      </c>
      <c r="Q5" s="195">
        <f t="shared" si="0"/>
        <v>150626.117248657</v>
      </c>
      <c r="R5" s="195">
        <f t="shared" si="0"/>
        <v>150646.437259209</v>
      </c>
      <c r="S5" s="195">
        <f t="shared" si="0"/>
        <v>150851.141080493</v>
      </c>
      <c r="T5" s="236"/>
      <c r="U5" s="236"/>
      <c r="V5" s="236"/>
      <c r="W5" s="236"/>
      <c r="X5" s="236"/>
      <c r="Y5" s="236"/>
      <c r="Z5" s="236"/>
    </row>
    <row r="6" ht="18" hidden="1" customHeight="1" spans="1:19">
      <c r="A6" s="192"/>
      <c r="B6" s="193"/>
      <c r="C6" s="196" t="s">
        <v>13</v>
      </c>
      <c r="D6" s="197">
        <f t="shared" ref="D6:D58" si="1">SUM(E6:S6)</f>
        <v>425315.866418697</v>
      </c>
      <c r="E6" s="197">
        <f t="shared" ref="E6:S6" si="2">E10+E14+E18</f>
        <v>1525.90647468112</v>
      </c>
      <c r="F6" s="197">
        <f t="shared" si="2"/>
        <v>4429.73826764336</v>
      </c>
      <c r="G6" s="197">
        <f t="shared" si="2"/>
        <v>7185.5889042056</v>
      </c>
      <c r="H6" s="197">
        <f t="shared" si="2"/>
        <v>9497.49607156784</v>
      </c>
      <c r="I6" s="197">
        <f t="shared" si="2"/>
        <v>11365.4597697301</v>
      </c>
      <c r="J6" s="197">
        <f t="shared" si="2"/>
        <v>38397.105759571</v>
      </c>
      <c r="K6" s="197">
        <f t="shared" si="2"/>
        <v>38562.8711057974</v>
      </c>
      <c r="L6" s="197">
        <f t="shared" si="2"/>
        <v>38950.5545703086</v>
      </c>
      <c r="M6" s="197">
        <f t="shared" si="2"/>
        <v>39079.0961283841</v>
      </c>
      <c r="N6" s="197">
        <f t="shared" si="2"/>
        <v>39173.0078708197</v>
      </c>
      <c r="O6" s="197">
        <f t="shared" si="2"/>
        <v>39319.860358699</v>
      </c>
      <c r="P6" s="197">
        <f t="shared" si="2"/>
        <v>39437.7346221799</v>
      </c>
      <c r="Q6" s="197">
        <f t="shared" si="2"/>
        <v>39437.7346221799</v>
      </c>
      <c r="R6" s="197">
        <f t="shared" si="2"/>
        <v>39465.6362286156</v>
      </c>
      <c r="S6" s="197">
        <f t="shared" si="2"/>
        <v>39488.0756643137</v>
      </c>
    </row>
    <row r="7" ht="18" hidden="1" customHeight="1" spans="1:19">
      <c r="A7" s="192"/>
      <c r="B7" s="193"/>
      <c r="C7" s="196" t="s">
        <v>14</v>
      </c>
      <c r="D7" s="197">
        <f t="shared" si="1"/>
        <v>322628.595344567</v>
      </c>
      <c r="E7" s="197">
        <f t="shared" ref="E7:S7" si="3">E11+E15+E19</f>
        <v>1342.65596765496</v>
      </c>
      <c r="F7" s="197">
        <f t="shared" si="3"/>
        <v>3822.10010656488</v>
      </c>
      <c r="G7" s="197">
        <f t="shared" si="3"/>
        <v>6095.6764490748</v>
      </c>
      <c r="H7" s="197">
        <f t="shared" si="3"/>
        <v>7751.64940238472</v>
      </c>
      <c r="I7" s="197">
        <f t="shared" si="3"/>
        <v>7751.64940238472</v>
      </c>
      <c r="J7" s="197">
        <f t="shared" si="3"/>
        <v>29110.2318388879</v>
      </c>
      <c r="K7" s="197">
        <f t="shared" si="3"/>
        <v>29274.7642380303</v>
      </c>
      <c r="L7" s="197">
        <f t="shared" si="3"/>
        <v>29478.6740551047</v>
      </c>
      <c r="M7" s="197">
        <f t="shared" si="3"/>
        <v>29582.2198319432</v>
      </c>
      <c r="N7" s="197">
        <f t="shared" si="3"/>
        <v>29631.8976128847</v>
      </c>
      <c r="O7" s="197">
        <f t="shared" si="3"/>
        <v>29683.5554391093</v>
      </c>
      <c r="P7" s="197">
        <f t="shared" si="3"/>
        <v>29766.2320216024</v>
      </c>
      <c r="Q7" s="197">
        <f t="shared" si="3"/>
        <v>29766.2320216024</v>
      </c>
      <c r="R7" s="237">
        <f t="shared" si="3"/>
        <v>29764.2519763194</v>
      </c>
      <c r="S7" s="197">
        <f t="shared" si="3"/>
        <v>29806.8049810183</v>
      </c>
    </row>
    <row r="8" ht="18" hidden="1" customHeight="1" spans="1:19">
      <c r="A8" s="192"/>
      <c r="B8" s="193"/>
      <c r="C8" s="196" t="s">
        <v>15</v>
      </c>
      <c r="D8" s="197">
        <f t="shared" si="1"/>
        <v>881282.792551622</v>
      </c>
      <c r="E8" s="197">
        <f t="shared" ref="E8:S8" si="4">E12+E16+E20</f>
        <v>3511.4323762504</v>
      </c>
      <c r="F8" s="197">
        <f t="shared" si="4"/>
        <v>10041.6447587512</v>
      </c>
      <c r="G8" s="197">
        <f t="shared" si="4"/>
        <v>16079.204771252</v>
      </c>
      <c r="H8" s="197">
        <f t="shared" si="4"/>
        <v>20638.8076737528</v>
      </c>
      <c r="I8" s="197">
        <f t="shared" si="4"/>
        <v>23720.4534662536</v>
      </c>
      <c r="J8" s="197">
        <f t="shared" si="4"/>
        <v>79025.741065572</v>
      </c>
      <c r="K8" s="197">
        <f t="shared" si="4"/>
        <v>79468.6366189597</v>
      </c>
      <c r="L8" s="197">
        <f t="shared" si="4"/>
        <v>80305.5844133507</v>
      </c>
      <c r="M8" s="197">
        <f t="shared" si="4"/>
        <v>80680.3808058214</v>
      </c>
      <c r="N8" s="197">
        <f t="shared" si="4"/>
        <v>80889.5250525654</v>
      </c>
      <c r="O8" s="197">
        <f t="shared" si="4"/>
        <v>81104.2708499096</v>
      </c>
      <c r="P8" s="197">
        <f t="shared" si="4"/>
        <v>81422.1506048743</v>
      </c>
      <c r="Q8" s="197">
        <f t="shared" si="4"/>
        <v>81422.1506048743</v>
      </c>
      <c r="R8" s="197">
        <f t="shared" si="4"/>
        <v>81416.549054274</v>
      </c>
      <c r="S8" s="197">
        <f t="shared" si="4"/>
        <v>81556.2604351608</v>
      </c>
    </row>
    <row r="9" s="177" customFormat="1" hidden="1" spans="1:26">
      <c r="A9" s="192">
        <v>1.1</v>
      </c>
      <c r="B9" s="193" t="s">
        <v>341</v>
      </c>
      <c r="C9" s="194" t="s">
        <v>4</v>
      </c>
      <c r="D9" s="195">
        <f t="shared" si="1"/>
        <v>0</v>
      </c>
      <c r="E9" s="195">
        <f>SUM(E10:E12)</f>
        <v>0</v>
      </c>
      <c r="F9" s="195">
        <f t="shared" ref="F9:S9" si="5">SUM(F10:F12)</f>
        <v>0</v>
      </c>
      <c r="G9" s="195">
        <f t="shared" si="5"/>
        <v>0</v>
      </c>
      <c r="H9" s="195">
        <f t="shared" si="5"/>
        <v>0</v>
      </c>
      <c r="I9" s="195">
        <f t="shared" si="5"/>
        <v>0</v>
      </c>
      <c r="J9" s="195">
        <f t="shared" si="5"/>
        <v>0</v>
      </c>
      <c r="K9" s="195">
        <f t="shared" si="5"/>
        <v>0</v>
      </c>
      <c r="L9" s="195">
        <f t="shared" si="5"/>
        <v>0</v>
      </c>
      <c r="M9" s="195">
        <f t="shared" si="5"/>
        <v>0</v>
      </c>
      <c r="N9" s="195">
        <f t="shared" si="5"/>
        <v>0</v>
      </c>
      <c r="O9" s="195">
        <f t="shared" si="5"/>
        <v>0</v>
      </c>
      <c r="P9" s="195">
        <f t="shared" si="5"/>
        <v>0</v>
      </c>
      <c r="Q9" s="195">
        <f t="shared" si="5"/>
        <v>0</v>
      </c>
      <c r="R9" s="195">
        <f t="shared" si="5"/>
        <v>0</v>
      </c>
      <c r="S9" s="195">
        <f t="shared" si="5"/>
        <v>0</v>
      </c>
      <c r="T9" s="236"/>
      <c r="U9" s="236"/>
      <c r="V9" s="236"/>
      <c r="W9" s="236"/>
      <c r="X9" s="236"/>
      <c r="Y9" s="236"/>
      <c r="Z9" s="236"/>
    </row>
    <row r="10" hidden="1" spans="1:19">
      <c r="A10" s="192"/>
      <c r="B10" s="193"/>
      <c r="C10" s="196" t="s">
        <v>13</v>
      </c>
      <c r="D10" s="197">
        <f t="shared" si="1"/>
        <v>0</v>
      </c>
      <c r="E10" s="197"/>
      <c r="F10" s="197"/>
      <c r="G10" s="197"/>
      <c r="H10" s="197"/>
      <c r="I10" s="197"/>
      <c r="J10" s="197"/>
      <c r="K10" s="197"/>
      <c r="L10" s="197"/>
      <c r="M10" s="197"/>
      <c r="N10" s="197"/>
      <c r="O10" s="226"/>
      <c r="P10" s="226"/>
      <c r="Q10" s="226"/>
      <c r="R10" s="226"/>
      <c r="S10" s="226"/>
    </row>
    <row r="11" hidden="1" spans="1:19">
      <c r="A11" s="192"/>
      <c r="B11" s="193"/>
      <c r="C11" s="196" t="s">
        <v>14</v>
      </c>
      <c r="D11" s="197">
        <f t="shared" si="1"/>
        <v>0</v>
      </c>
      <c r="E11" s="197"/>
      <c r="F11" s="197"/>
      <c r="G11" s="197"/>
      <c r="H11" s="197"/>
      <c r="I11" s="197"/>
      <c r="J11" s="197"/>
      <c r="K11" s="197"/>
      <c r="L11" s="197"/>
      <c r="M11" s="197"/>
      <c r="N11" s="197"/>
      <c r="O11" s="226"/>
      <c r="P11" s="226"/>
      <c r="Q11" s="226"/>
      <c r="R11" s="226"/>
      <c r="S11" s="226"/>
    </row>
    <row r="12" hidden="1" spans="1:19">
      <c r="A12" s="192"/>
      <c r="B12" s="193"/>
      <c r="C12" s="196" t="s">
        <v>15</v>
      </c>
      <c r="D12" s="197">
        <f t="shared" si="1"/>
        <v>0</v>
      </c>
      <c r="E12" s="197"/>
      <c r="F12" s="197"/>
      <c r="G12" s="197"/>
      <c r="H12" s="197"/>
      <c r="I12" s="197"/>
      <c r="J12" s="197"/>
      <c r="K12" s="197"/>
      <c r="L12" s="197"/>
      <c r="M12" s="197"/>
      <c r="N12" s="197"/>
      <c r="O12" s="226"/>
      <c r="P12" s="226"/>
      <c r="Q12" s="226"/>
      <c r="R12" s="226"/>
      <c r="S12" s="226"/>
    </row>
    <row r="13" s="177" customFormat="1" spans="1:26">
      <c r="A13" s="192">
        <v>1.2</v>
      </c>
      <c r="B13" s="193" t="s">
        <v>48</v>
      </c>
      <c r="C13" s="194" t="s">
        <v>4</v>
      </c>
      <c r="D13" s="195">
        <f t="shared" si="1"/>
        <v>25735.3781818182</v>
      </c>
      <c r="E13" s="195">
        <f>SUM(E14:E16)</f>
        <v>0</v>
      </c>
      <c r="F13" s="195">
        <f t="shared" ref="F13:S13" si="6">SUM(F14:F16)</f>
        <v>0</v>
      </c>
      <c r="G13" s="195">
        <f t="shared" si="6"/>
        <v>0</v>
      </c>
      <c r="H13" s="195">
        <f t="shared" si="6"/>
        <v>0</v>
      </c>
      <c r="I13" s="195">
        <f t="shared" si="6"/>
        <v>0</v>
      </c>
      <c r="J13" s="195">
        <f t="shared" si="6"/>
        <v>1527.17723636364</v>
      </c>
      <c r="K13" s="195">
        <f t="shared" si="6"/>
        <v>1696.63178181818</v>
      </c>
      <c r="L13" s="195">
        <f t="shared" si="6"/>
        <v>2092.72116363636</v>
      </c>
      <c r="M13" s="195">
        <f t="shared" si="6"/>
        <v>2262.17570909091</v>
      </c>
      <c r="N13" s="195">
        <f t="shared" si="6"/>
        <v>2658.26509090909</v>
      </c>
      <c r="O13" s="195">
        <f t="shared" si="6"/>
        <v>2827.71963636364</v>
      </c>
      <c r="P13" s="195">
        <f t="shared" si="6"/>
        <v>3054.35447272727</v>
      </c>
      <c r="Q13" s="195">
        <f t="shared" si="6"/>
        <v>3054.35447272727</v>
      </c>
      <c r="R13" s="195">
        <f t="shared" si="6"/>
        <v>3280.98930909091</v>
      </c>
      <c r="S13" s="195">
        <f t="shared" si="6"/>
        <v>3280.98930909091</v>
      </c>
      <c r="T13" s="236"/>
      <c r="U13" s="236"/>
      <c r="V13" s="236"/>
      <c r="W13" s="236"/>
      <c r="X13" s="236"/>
      <c r="Y13" s="236"/>
      <c r="Z13" s="236"/>
    </row>
    <row r="14" hidden="1" spans="1:19">
      <c r="A14" s="192"/>
      <c r="B14" s="193"/>
      <c r="C14" s="196" t="s">
        <v>13</v>
      </c>
      <c r="D14" s="197">
        <f t="shared" si="1"/>
        <v>4346.12727272727</v>
      </c>
      <c r="E14" s="197">
        <f>使用者付费!F5</f>
        <v>0</v>
      </c>
      <c r="F14" s="197">
        <f>使用者付费!G5</f>
        <v>0</v>
      </c>
      <c r="G14" s="197">
        <f>使用者付费!H5</f>
        <v>0</v>
      </c>
      <c r="H14" s="197">
        <f>使用者付费!I5</f>
        <v>0</v>
      </c>
      <c r="I14" s="197">
        <f>使用者付费!J5</f>
        <v>0</v>
      </c>
      <c r="J14" s="197">
        <f>使用者付费!K5/(1+10%)</f>
        <v>257.167636363636</v>
      </c>
      <c r="K14" s="197">
        <f>使用者付费!L5/(1+10%)</f>
        <v>293.167636363636</v>
      </c>
      <c r="L14" s="197">
        <f>使用者付费!M5/(1+10%)</f>
        <v>354.890181818182</v>
      </c>
      <c r="M14" s="197">
        <f>使用者付费!N5/(1+10%)</f>
        <v>390.890181818182</v>
      </c>
      <c r="N14" s="197">
        <f>使用者付费!O5/(1+10%)</f>
        <v>452.612727272727</v>
      </c>
      <c r="O14" s="197">
        <f>使用者付费!P5/(1+10%)</f>
        <v>488.612727272727</v>
      </c>
      <c r="P14" s="197">
        <f>使用者付费!Q5/(1+10%)</f>
        <v>514.335272727273</v>
      </c>
      <c r="Q14" s="197">
        <f>使用者付费!R5/(1+10%)</f>
        <v>514.335272727273</v>
      </c>
      <c r="R14" s="197">
        <f>使用者付费!S5/(1+10%)</f>
        <v>540.057818181818</v>
      </c>
      <c r="S14" s="197">
        <f>使用者付费!T5/(1+10%)</f>
        <v>540.057818181818</v>
      </c>
    </row>
    <row r="15" hidden="1" spans="1:19">
      <c r="A15" s="192"/>
      <c r="B15" s="193"/>
      <c r="C15" s="196" t="s">
        <v>14</v>
      </c>
      <c r="D15" s="197">
        <f t="shared" si="1"/>
        <v>5065.37818181818</v>
      </c>
      <c r="E15" s="197">
        <f>使用者付费!F6</f>
        <v>0</v>
      </c>
      <c r="F15" s="197">
        <f>使用者付费!G6</f>
        <v>0</v>
      </c>
      <c r="G15" s="197">
        <f>使用者付费!H6</f>
        <v>0</v>
      </c>
      <c r="H15" s="197">
        <f>使用者付费!I6</f>
        <v>0</v>
      </c>
      <c r="I15" s="197">
        <f>使用者付费!J6</f>
        <v>0</v>
      </c>
      <c r="J15" s="197">
        <f>使用者付费!K6/(1+10%)</f>
        <v>301.049963636364</v>
      </c>
      <c r="K15" s="197">
        <f>使用者付费!L6/(1+10%)</f>
        <v>329.777236363636</v>
      </c>
      <c r="L15" s="197">
        <f>使用者付费!M6/(1+10%)</f>
        <v>410.975709090909</v>
      </c>
      <c r="M15" s="197">
        <f>使用者付费!N6/(1+10%)</f>
        <v>439.702981818182</v>
      </c>
      <c r="N15" s="197">
        <f>使用者付费!O6/(1+10%)</f>
        <v>520.901454545455</v>
      </c>
      <c r="O15" s="197">
        <f>使用者付费!P6/(1+10%)</f>
        <v>549.628727272727</v>
      </c>
      <c r="P15" s="197">
        <f>使用者付费!Q6/(1+10%)</f>
        <v>602.099927272727</v>
      </c>
      <c r="Q15" s="197">
        <f>使用者付费!R6/(1+10%)</f>
        <v>602.099927272727</v>
      </c>
      <c r="R15" s="197">
        <f>使用者付费!S6/(1+10%)</f>
        <v>654.571127272727</v>
      </c>
      <c r="S15" s="197">
        <f>使用者付费!T6/(1+10%)</f>
        <v>654.571127272727</v>
      </c>
    </row>
    <row r="16" hidden="1" spans="1:19">
      <c r="A16" s="192"/>
      <c r="B16" s="193"/>
      <c r="C16" s="196" t="s">
        <v>15</v>
      </c>
      <c r="D16" s="197">
        <f t="shared" si="1"/>
        <v>16323.8727272727</v>
      </c>
      <c r="E16" s="197">
        <f>使用者付费!F7</f>
        <v>0</v>
      </c>
      <c r="F16" s="197">
        <f>使用者付费!G7</f>
        <v>0</v>
      </c>
      <c r="G16" s="197">
        <f>使用者付费!H7</f>
        <v>0</v>
      </c>
      <c r="H16" s="197">
        <f>使用者付费!I7</f>
        <v>0</v>
      </c>
      <c r="I16" s="197">
        <f>使用者付费!J7</f>
        <v>0</v>
      </c>
      <c r="J16" s="197">
        <f>使用者付费!K7/(1+10%)</f>
        <v>968.959636363636</v>
      </c>
      <c r="K16" s="197">
        <f>使用者付费!L7/(1+10%)</f>
        <v>1073.68690909091</v>
      </c>
      <c r="L16" s="197">
        <f>使用者付费!M7/(1+10%)</f>
        <v>1326.85527272727</v>
      </c>
      <c r="M16" s="197">
        <f>使用者付费!N7/(1+10%)</f>
        <v>1431.58254545455</v>
      </c>
      <c r="N16" s="197">
        <f>使用者付费!O7/(1+10%)</f>
        <v>1684.75090909091</v>
      </c>
      <c r="O16" s="197">
        <f>使用者付费!P7/(1+10%)</f>
        <v>1789.47818181818</v>
      </c>
      <c r="P16" s="197">
        <f>使用者付费!Q7/(1+10%)</f>
        <v>1937.91927272727</v>
      </c>
      <c r="Q16" s="197">
        <f>使用者付费!R7/(1+10%)</f>
        <v>1937.91927272727</v>
      </c>
      <c r="R16" s="197">
        <f>使用者付费!S7/(1+10%)</f>
        <v>2086.36036363636</v>
      </c>
      <c r="S16" s="197">
        <f>使用者付费!T7/(1+10%)</f>
        <v>2086.36036363636</v>
      </c>
    </row>
    <row r="17" s="177" customFormat="1" spans="1:26">
      <c r="A17" s="192">
        <v>1.3</v>
      </c>
      <c r="B17" s="193" t="s">
        <v>342</v>
      </c>
      <c r="C17" s="194" t="s">
        <v>4</v>
      </c>
      <c r="D17" s="195">
        <f t="shared" si="1"/>
        <v>1603491.87613307</v>
      </c>
      <c r="E17" s="195">
        <f t="shared" ref="E17:H17" si="7">SUM(E18:E20)</f>
        <v>6379.99481858648</v>
      </c>
      <c r="F17" s="195">
        <f t="shared" si="7"/>
        <v>18293.4831329594</v>
      </c>
      <c r="G17" s="195">
        <f t="shared" si="7"/>
        <v>29360.4701245324</v>
      </c>
      <c r="H17" s="195">
        <f t="shared" si="7"/>
        <v>37887.9531477054</v>
      </c>
      <c r="I17" s="195">
        <f t="shared" ref="I17:S17" si="8">SUM(I18:I20)</f>
        <v>42837.5626383684</v>
      </c>
      <c r="J17" s="195">
        <f t="shared" si="8"/>
        <v>145005.901427667</v>
      </c>
      <c r="K17" s="195">
        <f t="shared" si="8"/>
        <v>145609.640180969</v>
      </c>
      <c r="L17" s="195">
        <f t="shared" si="8"/>
        <v>146642.091875128</v>
      </c>
      <c r="M17" s="195">
        <f t="shared" si="8"/>
        <v>147079.521057058</v>
      </c>
      <c r="N17" s="195">
        <f t="shared" si="8"/>
        <v>147036.165445361</v>
      </c>
      <c r="O17" s="195">
        <f t="shared" si="8"/>
        <v>147279.967011354</v>
      </c>
      <c r="P17" s="195">
        <f t="shared" si="8"/>
        <v>147571.762775929</v>
      </c>
      <c r="Q17" s="195">
        <f t="shared" si="8"/>
        <v>147571.762775929</v>
      </c>
      <c r="R17" s="195">
        <f t="shared" si="8"/>
        <v>147365.447950118</v>
      </c>
      <c r="S17" s="195">
        <f t="shared" si="8"/>
        <v>147570.151771402</v>
      </c>
      <c r="T17" s="236"/>
      <c r="U17" s="236"/>
      <c r="V17" s="236"/>
      <c r="W17" s="236"/>
      <c r="X17" s="236"/>
      <c r="Y17" s="236"/>
      <c r="Z17" s="236"/>
    </row>
    <row r="18" hidden="1" spans="1:19">
      <c r="A18" s="192"/>
      <c r="B18" s="193"/>
      <c r="C18" s="196" t="s">
        <v>13</v>
      </c>
      <c r="D18" s="197">
        <f t="shared" si="1"/>
        <v>420969.73914597</v>
      </c>
      <c r="E18" s="198">
        <f>'建设期付息政府付费用估算表 '!E10</f>
        <v>1525.90647468112</v>
      </c>
      <c r="F18" s="198">
        <f>'建设期付息政府付费用估算表 '!F10</f>
        <v>4429.73826764336</v>
      </c>
      <c r="G18" s="198">
        <f>'建设期付息政府付费用估算表 '!G10</f>
        <v>7185.5889042056</v>
      </c>
      <c r="H18" s="198">
        <f>'建设期付息政府付费用估算表 '!H10</f>
        <v>9497.49607156784</v>
      </c>
      <c r="I18" s="198">
        <f>'建设期付息政府付费用估算表 '!I10</f>
        <v>11365.4597697301</v>
      </c>
      <c r="J18" s="197">
        <f>'建设期付息政府付费用估算表 '!J10/(1+6%)</f>
        <v>38139.9381232074</v>
      </c>
      <c r="K18" s="197">
        <f>'建设期付息政府付费用估算表 '!K10/(1+6%)</f>
        <v>38269.7034694338</v>
      </c>
      <c r="L18" s="197">
        <f>'建设期付息政府付费用估算表 '!L10/(1+6%)</f>
        <v>38595.6643884904</v>
      </c>
      <c r="M18" s="197">
        <f>'建设期付息政府付费用估算表 '!M10/(1+6%)</f>
        <v>38688.2059465659</v>
      </c>
      <c r="N18" s="197">
        <f>'建设期付息政府付费用估算表 '!N10/(1+6%)</f>
        <v>38720.395143547</v>
      </c>
      <c r="O18" s="197">
        <f>'建设期付息政府付费用估算表 '!O10/(1+6%)</f>
        <v>38831.2476314262</v>
      </c>
      <c r="P18" s="197">
        <f>'建设期付息政府付费用估算表 '!P10/(1+6%)</f>
        <v>38923.3993494527</v>
      </c>
      <c r="Q18" s="197">
        <f>'建设期付息政府付费用估算表 '!Q10/(1+6%)</f>
        <v>38923.3993494527</v>
      </c>
      <c r="R18" s="197">
        <f>'建设期付息政府付费用估算表 '!R10/(1+6%)</f>
        <v>38925.5784104338</v>
      </c>
      <c r="S18" s="197">
        <f>'建设期付息政府付费用估算表 '!S10/(1+6%)</f>
        <v>38948.0178461319</v>
      </c>
    </row>
    <row r="19" hidden="1" spans="1:19">
      <c r="A19" s="192"/>
      <c r="B19" s="193"/>
      <c r="C19" s="196" t="s">
        <v>14</v>
      </c>
      <c r="D19" s="197">
        <f t="shared" si="1"/>
        <v>317563.217162749</v>
      </c>
      <c r="E19" s="198">
        <f>'建设期付息政府付费用估算表 '!E11</f>
        <v>1342.65596765496</v>
      </c>
      <c r="F19" s="198">
        <f>'建设期付息政府付费用估算表 '!F11</f>
        <v>3822.10010656488</v>
      </c>
      <c r="G19" s="198">
        <f>'建设期付息政府付费用估算表 '!G11</f>
        <v>6095.6764490748</v>
      </c>
      <c r="H19" s="198">
        <f>'建设期付息政府付费用估算表 '!H11</f>
        <v>7751.64940238472</v>
      </c>
      <c r="I19" s="198">
        <f>'建设期付息政府付费用估算表 '!I11</f>
        <v>7751.64940238472</v>
      </c>
      <c r="J19" s="197">
        <f>'建设期付息政府付费用估算表 '!J11/(1+6%)</f>
        <v>28809.1818752516</v>
      </c>
      <c r="K19" s="197">
        <f>'建设期付息政府付费用估算表 '!K11/(1+6%)</f>
        <v>28944.9870016667</v>
      </c>
      <c r="L19" s="197">
        <f>'建设期付息政府付费用估算表 '!L11/(1+6%)</f>
        <v>29067.6983460138</v>
      </c>
      <c r="M19" s="197">
        <f>'建设期付息政府付费用估算表 '!M11/(1+6%)</f>
        <v>29142.516850125</v>
      </c>
      <c r="N19" s="197">
        <f>'建设期付息政府付费用估算表 '!N11/(1+6%)</f>
        <v>29110.9961583393</v>
      </c>
      <c r="O19" s="197">
        <f>'建设期付息政府付费用估算表 '!O11/(1+6%)</f>
        <v>29133.9267118365</v>
      </c>
      <c r="P19" s="197">
        <f>'建设期付息政府付费用估算表 '!P11/(1+6%)</f>
        <v>29164.1320943297</v>
      </c>
      <c r="Q19" s="197">
        <f>'建设期付息政府付费用估算表 '!Q11/(1+6%)</f>
        <v>29164.1320943297</v>
      </c>
      <c r="R19" s="197">
        <f>'建设期付息政府付费用估算表 '!R11/(1+6%)</f>
        <v>29109.6808490467</v>
      </c>
      <c r="S19" s="197">
        <f>'建设期付息政府付费用估算表 '!S11/(1+6%)</f>
        <v>29152.2338537455</v>
      </c>
    </row>
    <row r="20" hidden="1" spans="1:19">
      <c r="A20" s="192"/>
      <c r="B20" s="193"/>
      <c r="C20" s="196" t="s">
        <v>15</v>
      </c>
      <c r="D20" s="197">
        <f t="shared" si="1"/>
        <v>864958.919824349</v>
      </c>
      <c r="E20" s="198">
        <f>'建设期付息政府付费用估算表 '!E12</f>
        <v>3511.4323762504</v>
      </c>
      <c r="F20" s="198">
        <f>'建设期付息政府付费用估算表 '!F12</f>
        <v>10041.6447587512</v>
      </c>
      <c r="G20" s="198">
        <f>'建设期付息政府付费用估算表 '!G12</f>
        <v>16079.204771252</v>
      </c>
      <c r="H20" s="198">
        <f>'建设期付息政府付费用估算表 '!H12</f>
        <v>20638.8076737528</v>
      </c>
      <c r="I20" s="198">
        <f>'建设期付息政府付费用估算表 '!I12</f>
        <v>23720.4534662536</v>
      </c>
      <c r="J20" s="197">
        <f>'建设期付息政府付费用估算表 '!J12/(1+6%)</f>
        <v>78056.7814292084</v>
      </c>
      <c r="K20" s="197">
        <f>'建设期付息政府付费用估算表 '!K12/(1+6%)</f>
        <v>78394.9497098688</v>
      </c>
      <c r="L20" s="197">
        <f>'建设期付息政府付费用估算表 '!L12/(1+6%)</f>
        <v>78978.7291406235</v>
      </c>
      <c r="M20" s="197">
        <f>'建设期付息政府付费用估算表 '!M12/(1+6%)</f>
        <v>79248.7982603669</v>
      </c>
      <c r="N20" s="197">
        <f>'建设期付息政府付费用估算表 '!N12/(1+6%)</f>
        <v>79204.7741434744</v>
      </c>
      <c r="O20" s="197">
        <f>'建设期付息政府付费用估算表 '!O12/(1+6%)</f>
        <v>79314.7926680914</v>
      </c>
      <c r="P20" s="197">
        <f>'建设期付息政府付费用估算表 '!P12/(1+6%)</f>
        <v>79484.2313321471</v>
      </c>
      <c r="Q20" s="197">
        <f>'建设期付息政府付费用估算表 '!Q12/(1+6%)</f>
        <v>79484.2313321471</v>
      </c>
      <c r="R20" s="197">
        <f>'建设期付息政府付费用估算表 '!R12/(1+6%)</f>
        <v>79330.1886906376</v>
      </c>
      <c r="S20" s="197">
        <f>'建设期付息政府付费用估算表 '!S12/(1+6%)</f>
        <v>79469.9000715244</v>
      </c>
    </row>
    <row r="21" s="177" customFormat="1" ht="19.5" customHeight="1" spans="1:26">
      <c r="A21" s="192">
        <v>2</v>
      </c>
      <c r="B21" s="193" t="s">
        <v>333</v>
      </c>
      <c r="C21" s="194" t="s">
        <v>4</v>
      </c>
      <c r="D21" s="195">
        <f t="shared" si="1"/>
        <v>1571971.56205291</v>
      </c>
      <c r="E21" s="195">
        <f>E25+E29+E33+E37</f>
        <v>6018.86303640234</v>
      </c>
      <c r="F21" s="195">
        <f t="shared" ref="F21:S21" si="9">F25+F29+F33+F37</f>
        <v>17258.0029556221</v>
      </c>
      <c r="G21" s="195">
        <f t="shared" si="9"/>
        <v>27698.556721257</v>
      </c>
      <c r="H21" s="195">
        <f t="shared" si="9"/>
        <v>35743.3520261371</v>
      </c>
      <c r="I21" s="195">
        <f t="shared" si="9"/>
        <v>40412.794941857</v>
      </c>
      <c r="J21" s="195">
        <f t="shared" si="9"/>
        <v>159559.556489525</v>
      </c>
      <c r="K21" s="195">
        <f t="shared" si="9"/>
        <v>156807.256262106</v>
      </c>
      <c r="L21" s="195">
        <f t="shared" si="9"/>
        <v>154494.547587896</v>
      </c>
      <c r="M21" s="195">
        <f t="shared" si="9"/>
        <v>151204.610240516</v>
      </c>
      <c r="N21" s="195">
        <f t="shared" si="9"/>
        <v>147481.989286895</v>
      </c>
      <c r="O21" s="195">
        <f t="shared" si="9"/>
        <v>143609.678962132</v>
      </c>
      <c r="P21" s="195">
        <f t="shared" si="9"/>
        <v>139634.028822515</v>
      </c>
      <c r="Q21" s="195">
        <f t="shared" si="9"/>
        <v>134995.096412542</v>
      </c>
      <c r="R21" s="195">
        <f t="shared" si="9"/>
        <v>131015.638947574</v>
      </c>
      <c r="S21" s="195">
        <f t="shared" si="9"/>
        <v>126037.589359931</v>
      </c>
      <c r="T21" s="236"/>
      <c r="U21" s="236"/>
      <c r="V21" s="236"/>
      <c r="W21" s="236"/>
      <c r="X21" s="236"/>
      <c r="Y21" s="236"/>
      <c r="Z21" s="236"/>
    </row>
    <row r="22" ht="19.5" hidden="1" customHeight="1" spans="1:29">
      <c r="A22" s="192"/>
      <c r="B22" s="193"/>
      <c r="C22" s="196" t="s">
        <v>13</v>
      </c>
      <c r="D22" s="197">
        <f t="shared" ref="D22:D23" si="10">SUM(E22:S22)</f>
        <v>405967.040415003</v>
      </c>
      <c r="E22" s="197">
        <f>E26+E30+E34+E38</f>
        <v>1439.53441007653</v>
      </c>
      <c r="F22" s="197">
        <f t="shared" ref="F22:S22" si="11">F26+F30+F34+F38</f>
        <v>4178.99836570128</v>
      </c>
      <c r="G22" s="197">
        <f t="shared" si="11"/>
        <v>6778.85745679774</v>
      </c>
      <c r="H22" s="197">
        <f t="shared" si="11"/>
        <v>8959.90195430928</v>
      </c>
      <c r="I22" s="197">
        <f t="shared" si="11"/>
        <v>10722.1318582359</v>
      </c>
      <c r="J22" s="197">
        <f t="shared" si="11"/>
        <v>41464.3620558013</v>
      </c>
      <c r="K22" s="197">
        <f t="shared" si="11"/>
        <v>40704.6601349229</v>
      </c>
      <c r="L22" s="197">
        <f t="shared" si="11"/>
        <v>40108.433856646</v>
      </c>
      <c r="M22" s="197">
        <f t="shared" si="11"/>
        <v>39214.9542458082</v>
      </c>
      <c r="N22" s="197">
        <f t="shared" si="11"/>
        <v>38237.8413618855</v>
      </c>
      <c r="O22" s="197">
        <f t="shared" si="11"/>
        <v>37258.3858887059</v>
      </c>
      <c r="P22" s="197">
        <f t="shared" si="11"/>
        <v>36196.2526326191</v>
      </c>
      <c r="Q22" s="197">
        <f t="shared" si="11"/>
        <v>34616.4207012913</v>
      </c>
      <c r="R22" s="197">
        <f t="shared" si="11"/>
        <v>33590.5290105692</v>
      </c>
      <c r="S22" s="197">
        <f t="shared" si="11"/>
        <v>32495.7764816334</v>
      </c>
      <c r="AA22" s="181"/>
      <c r="AB22" s="181"/>
      <c r="AC22" s="181"/>
    </row>
    <row r="23" ht="19.5" hidden="1" customHeight="1" spans="1:29">
      <c r="A23" s="192"/>
      <c r="B23" s="193"/>
      <c r="C23" s="196" t="s">
        <v>14</v>
      </c>
      <c r="D23" s="197">
        <f t="shared" si="10"/>
        <v>314078.743093113</v>
      </c>
      <c r="E23" s="197">
        <f t="shared" ref="E23:S23" si="12">E27+E31+E35+E39</f>
        <v>1266.6565732594</v>
      </c>
      <c r="F23" s="197">
        <f t="shared" si="12"/>
        <v>3605.75481751404</v>
      </c>
      <c r="G23" s="197">
        <f t="shared" si="12"/>
        <v>5750.63815950453</v>
      </c>
      <c r="H23" s="197">
        <f t="shared" si="12"/>
        <v>7312.87679470256</v>
      </c>
      <c r="I23" s="197">
        <f t="shared" si="12"/>
        <v>7312.87679470256</v>
      </c>
      <c r="J23" s="197">
        <f t="shared" si="12"/>
        <v>31891.4778761228</v>
      </c>
      <c r="K23" s="197">
        <f t="shared" si="12"/>
        <v>31355.5982647752</v>
      </c>
      <c r="L23" s="197">
        <f t="shared" si="12"/>
        <v>30819.4655028453</v>
      </c>
      <c r="M23" s="197">
        <f t="shared" si="12"/>
        <v>30149.5991194624</v>
      </c>
      <c r="N23" s="197">
        <f t="shared" si="12"/>
        <v>29390.6717218391</v>
      </c>
      <c r="O23" s="197">
        <f t="shared" si="12"/>
        <v>28592.0665063245</v>
      </c>
      <c r="P23" s="197">
        <f t="shared" si="12"/>
        <v>27783.2112153462</v>
      </c>
      <c r="Q23" s="197">
        <f t="shared" si="12"/>
        <v>27082.9274007217</v>
      </c>
      <c r="R23" s="197">
        <f t="shared" si="12"/>
        <v>26284.715084295</v>
      </c>
      <c r="S23" s="197">
        <f t="shared" si="12"/>
        <v>25480.2072616981</v>
      </c>
      <c r="AA23" s="181"/>
      <c r="AB23" s="181"/>
      <c r="AC23" s="181"/>
    </row>
    <row r="24" ht="19.5" hidden="1" customHeight="1" spans="1:29">
      <c r="A24" s="192"/>
      <c r="B24" s="193"/>
      <c r="C24" s="196" t="s">
        <v>15</v>
      </c>
      <c r="D24" s="197">
        <f t="shared" si="1"/>
        <v>852873.899159564</v>
      </c>
      <c r="E24" s="197">
        <f t="shared" ref="E24:S24" si="13">E28+E32+E36+E40</f>
        <v>3312.67205306641</v>
      </c>
      <c r="F24" s="197">
        <f t="shared" si="13"/>
        <v>9473.24977240679</v>
      </c>
      <c r="G24" s="197">
        <f t="shared" si="13"/>
        <v>15169.0611049547</v>
      </c>
      <c r="H24" s="197">
        <f t="shared" si="13"/>
        <v>19470.5732771253</v>
      </c>
      <c r="I24" s="197">
        <f t="shared" si="13"/>
        <v>22377.7862889185</v>
      </c>
      <c r="J24" s="197">
        <f t="shared" si="13"/>
        <v>86203.7165576007</v>
      </c>
      <c r="K24" s="197">
        <f t="shared" si="13"/>
        <v>84746.9978624075</v>
      </c>
      <c r="L24" s="197">
        <f t="shared" si="13"/>
        <v>83566.6482284044</v>
      </c>
      <c r="M24" s="197">
        <f t="shared" si="13"/>
        <v>81840.0568752457</v>
      </c>
      <c r="N24" s="197">
        <f t="shared" si="13"/>
        <v>79853.4762031708</v>
      </c>
      <c r="O24" s="197">
        <f t="shared" si="13"/>
        <v>77759.2265671017</v>
      </c>
      <c r="P24" s="197">
        <f t="shared" si="13"/>
        <v>75654.5649745496</v>
      </c>
      <c r="Q24" s="197">
        <f t="shared" si="13"/>
        <v>73317.8675772114</v>
      </c>
      <c r="R24" s="197">
        <f t="shared" si="13"/>
        <v>71146.6211904767</v>
      </c>
      <c r="S24" s="197">
        <f t="shared" si="13"/>
        <v>68981.3806269235</v>
      </c>
      <c r="AA24" s="181"/>
      <c r="AB24" s="181"/>
      <c r="AC24" s="181"/>
    </row>
    <row r="25" s="177" customFormat="1" ht="17.25" customHeight="1" spans="1:29">
      <c r="A25" s="192">
        <v>2.1</v>
      </c>
      <c r="B25" s="193" t="s">
        <v>343</v>
      </c>
      <c r="C25" s="194" t="s">
        <v>4</v>
      </c>
      <c r="D25" s="195">
        <f>'建设期支付利息还本付息计划表  '!D25</f>
        <v>410970.751890974</v>
      </c>
      <c r="E25" s="195">
        <f>'建设期支付利息还本付息计划表  '!E25/(1+6%)</f>
        <v>6018.86303640234</v>
      </c>
      <c r="F25" s="195">
        <f>'建设期支付利息还本付息计划表  '!F25/(1+6%)</f>
        <v>17258.0029556221</v>
      </c>
      <c r="G25" s="195">
        <f>'建设期支付利息还本付息计划表  '!G25/(1+6%)</f>
        <v>27698.556721257</v>
      </c>
      <c r="H25" s="195">
        <f>'建设期支付利息还本付息计划表  '!H25/(1+6%)</f>
        <v>35743.3520261371</v>
      </c>
      <c r="I25" s="195">
        <f>'建设期支付利息还本付息计划表  '!I25/(1+6%)</f>
        <v>40412.794941857</v>
      </c>
      <c r="J25" s="195">
        <f>'建设期支付利息还本付息计划表  '!J25/(1+6%)</f>
        <v>44216.9072923253</v>
      </c>
      <c r="K25" s="195">
        <f>'建设期支付利息还本付息计划表  '!K25/(1+6%)</f>
        <v>40685.0192550004</v>
      </c>
      <c r="L25" s="195">
        <f>'建设期支付利息还本付息计划表  '!L25/(1+6%)</f>
        <v>36980.0687038467</v>
      </c>
      <c r="M25" s="195">
        <f>'建设期支付利息还本付息计划表  '!M25/(1+6%)</f>
        <v>33093.5755756864</v>
      </c>
      <c r="N25" s="195">
        <f>'建设期支付利息还本付息计划表  '!N25/(1+6%)</f>
        <v>29016.6442842462</v>
      </c>
      <c r="O25" s="195">
        <f>'建设期支付利息还本付息计划表  '!O25/(1+6%)</f>
        <v>24739.9433595255</v>
      </c>
      <c r="P25" s="195">
        <f>'建设期支付利息还本付息计划表  '!P25/(1+6%)</f>
        <v>20253.6840894935</v>
      </c>
      <c r="Q25" s="195">
        <f>'建设期支付利息还本付息计划表  '!Q25/(1+6%)</f>
        <v>15547.5981152299</v>
      </c>
      <c r="R25" s="195">
        <f>'建设期支付利息还本付息计划表  '!R25/(1+6%)</f>
        <v>10610.9139282274</v>
      </c>
      <c r="S25" s="195">
        <f>'建设期支付利息还本付息计划表  '!S25/(1+6%)</f>
        <v>5432.33221606176</v>
      </c>
      <c r="T25" s="181"/>
      <c r="U25" s="181"/>
      <c r="V25" s="181"/>
      <c r="W25" s="181"/>
      <c r="X25" s="181"/>
      <c r="Y25" s="181"/>
      <c r="Z25" s="181"/>
      <c r="AA25" s="181"/>
      <c r="AB25" s="181"/>
      <c r="AC25" s="181"/>
    </row>
    <row r="26" ht="17.25" hidden="1" customHeight="1" spans="1:29">
      <c r="A26" s="192"/>
      <c r="B26" s="193"/>
      <c r="C26" s="196" t="s">
        <v>13</v>
      </c>
      <c r="D26" s="197">
        <f t="shared" si="1"/>
        <v>100459.050647298</v>
      </c>
      <c r="E26" s="197">
        <f>'建设期支付利息还本付息计划表  '!E26/(1+6%)</f>
        <v>1439.53441007653</v>
      </c>
      <c r="F26" s="197">
        <f>'建设期支付利息还本付息计划表  '!F26/(1+6%)</f>
        <v>4178.99836570128</v>
      </c>
      <c r="G26" s="197">
        <f>'建设期支付利息还本付息计划表  '!G26/(1+6%)</f>
        <v>6778.85745679774</v>
      </c>
      <c r="H26" s="197">
        <f>'建设期支付利息还本付息计划表  '!H26/(1+6%)</f>
        <v>8959.90195430928</v>
      </c>
      <c r="I26" s="197">
        <f>'建设期支付利息还本付息计划表  '!I26/(1+6%)</f>
        <v>10722.1318582359</v>
      </c>
      <c r="J26" s="197">
        <f>'建设期支付利息还本付息计划表  '!J26/(1+6%)</f>
        <v>11603.2468101992</v>
      </c>
      <c r="K26" s="197">
        <f>'建设期支付利息还本付息计划表  '!K26/(1+6%)</f>
        <v>10676.4210525284</v>
      </c>
      <c r="L26" s="197">
        <f>'建设期支付利息还本付息计划表  '!L26/(1+6%)</f>
        <v>9704.18083273171</v>
      </c>
      <c r="M26" s="197">
        <f>'建设期支付利息还本付息计划表  '!M26/(1+6%)</f>
        <v>8684.30084216497</v>
      </c>
      <c r="N26" s="197">
        <f>'建设期支付利息还本付息计划表  '!N26/(1+6%)</f>
        <v>7614.44673206046</v>
      </c>
      <c r="O26" s="197">
        <f>'建设期支付利息还本付息计划表  '!O26/(1+6%)</f>
        <v>6492.16977056083</v>
      </c>
      <c r="P26" s="197">
        <f>'建设期支付利息还本付息计划表  '!P26/(1+6%)</f>
        <v>5314.90123794771</v>
      </c>
      <c r="Q26" s="197">
        <f>'建设期支付利息还本付息计划表  '!Q26/(1+6%)</f>
        <v>4079.94654723655</v>
      </c>
      <c r="R26" s="197">
        <f>'建设期支付利息还本付息计划表  '!R26/(1+6%)</f>
        <v>2784.47907668055</v>
      </c>
      <c r="S26" s="197">
        <f>'建设期支付利息还本付息计划表  '!S26/(1+6%)</f>
        <v>1425.5337000673</v>
      </c>
      <c r="AA26" s="181"/>
      <c r="AB26" s="181"/>
      <c r="AC26" s="181"/>
    </row>
    <row r="27" ht="17.25" hidden="1" customHeight="1" spans="1:29">
      <c r="A27" s="192"/>
      <c r="B27" s="193"/>
      <c r="C27" s="196" t="s">
        <v>14</v>
      </c>
      <c r="D27" s="197">
        <f t="shared" si="1"/>
        <v>77003.9881324585</v>
      </c>
      <c r="E27" s="197">
        <f>'建设期支付利息还本付息计划表  '!E27/(1+6%)</f>
        <v>1266.6565732594</v>
      </c>
      <c r="F27" s="197">
        <f>'建设期支付利息还本付息计划表  '!F27/(1+6%)</f>
        <v>3605.75481751404</v>
      </c>
      <c r="G27" s="197">
        <f>'建设期支付利息还本付息计划表  '!G27/(1+6%)</f>
        <v>5750.63815950453</v>
      </c>
      <c r="H27" s="197">
        <f>'建设期支付利息还本付息计划表  '!H27/(1+6%)</f>
        <v>7312.87679470256</v>
      </c>
      <c r="I27" s="197">
        <f>'建设期支付利息还本付息计划表  '!I27/(1+6%)</f>
        <v>7312.87679470256</v>
      </c>
      <c r="J27" s="197">
        <f>'建设期支付利息还本付息计划表  '!J27/(1+6%)</f>
        <v>8782.26768731094</v>
      </c>
      <c r="K27" s="197">
        <f>'建设期支付利息还本付息计划表  '!K27/(1+6%)</f>
        <v>8080.77162879348</v>
      </c>
      <c r="L27" s="197">
        <f>'建设期支付利息还本付息计划表  '!L27/(1+6%)</f>
        <v>7344.90226340867</v>
      </c>
      <c r="M27" s="197">
        <f>'建设期支付利息还本付息计划表  '!M27/(1+6%)</f>
        <v>6572.97529912</v>
      </c>
      <c r="N27" s="197">
        <f>'建设期支付利息还本付息计划表  '!N27/(1+6%)</f>
        <v>5763.22391358119</v>
      </c>
      <c r="O27" s="197">
        <f>'建设期支付利息还本付息计划表  '!O27/(1+6%)</f>
        <v>4913.79471015097</v>
      </c>
      <c r="P27" s="197">
        <f>'建设期支付利息还本付息计划表  '!P27/(1+6%)</f>
        <v>4022.74347575268</v>
      </c>
      <c r="Q27" s="197">
        <f>'建设期支付利息还本付息计划表  '!Q27/(1+6%)</f>
        <v>3088.03073086887</v>
      </c>
      <c r="R27" s="197">
        <f>'建设期支付利息还本付息计划表  '!R27/(1+6%)</f>
        <v>2107.51706148575</v>
      </c>
      <c r="S27" s="197">
        <f>'建设期支付利息还本付息计划表  '!S27/(1+6%)</f>
        <v>1078.95822230286</v>
      </c>
      <c r="AA27" s="181"/>
      <c r="AB27" s="181"/>
      <c r="AC27" s="181"/>
    </row>
    <row r="28" ht="17.25" hidden="1" customHeight="1" spans="1:29">
      <c r="A28" s="199"/>
      <c r="B28" s="200"/>
      <c r="C28" s="201" t="s">
        <v>15</v>
      </c>
      <c r="D28" s="202">
        <f t="shared" si="1"/>
        <v>210245.217721162</v>
      </c>
      <c r="E28" s="202">
        <f>'建设期支付利息还本付息计划表  '!E28/(1+6%)</f>
        <v>3312.67205306641</v>
      </c>
      <c r="F28" s="202">
        <f>'建设期支付利息还本付息计划表  '!F28/(1+6%)</f>
        <v>9473.24977240679</v>
      </c>
      <c r="G28" s="202">
        <f>'建设期支付利息还本付息计划表  '!G28/(1+6%)</f>
        <v>15169.0611049547</v>
      </c>
      <c r="H28" s="202">
        <f>'建设期支付利息还本付息计划表  '!H28/(1+6%)</f>
        <v>19470.5732771253</v>
      </c>
      <c r="I28" s="202">
        <f>'建设期支付利息还本付息计划表  '!I28/(1+6%)</f>
        <v>22377.7862889185</v>
      </c>
      <c r="J28" s="202">
        <f>'建设期支付利息还本付息计划表  '!J28/(1+6%)</f>
        <v>23831.3927948151</v>
      </c>
      <c r="K28" s="202">
        <f>'建设期支付利息还本付息计划表  '!K28/(1+6%)</f>
        <v>21927.8265736785</v>
      </c>
      <c r="L28" s="202">
        <f>'建设期支付利息还本付息计划表  '!L28/(1+6%)</f>
        <v>19930.9856077063</v>
      </c>
      <c r="M28" s="202">
        <f>'建设期支付利息还本付息计划表  '!M28/(1+6%)</f>
        <v>17836.2994344014</v>
      </c>
      <c r="N28" s="202">
        <f>'建设期支付利息还本付息计划表  '!N28/(1+6%)</f>
        <v>15638.9736386046</v>
      </c>
      <c r="O28" s="202">
        <f>'建设期支付利息还本付息计划表  '!O28/(1+6%)</f>
        <v>13333.9788788137</v>
      </c>
      <c r="P28" s="202">
        <f>'建设期支付利息还本付息计划表  '!P28/(1+6%)</f>
        <v>10916.0393757931</v>
      </c>
      <c r="Q28" s="202">
        <f>'建设期支付利息还本付息计划表  '!Q28/(1+6%)</f>
        <v>8379.62083712449</v>
      </c>
      <c r="R28" s="202">
        <f>'建设期支付利息还本付息计划表  '!R28/(1+6%)</f>
        <v>5718.9177900611</v>
      </c>
      <c r="S28" s="202">
        <f>'建设期支付利息还本付息计划表  '!S28/(1+6%)</f>
        <v>2927.8402936916</v>
      </c>
      <c r="AA28" s="181"/>
      <c r="AB28" s="181"/>
      <c r="AC28" s="181"/>
    </row>
    <row r="29" s="178" customFormat="1" spans="1:16384">
      <c r="A29" s="203">
        <v>2.2</v>
      </c>
      <c r="B29" s="204" t="s">
        <v>344</v>
      </c>
      <c r="C29" s="640" t="s">
        <v>4</v>
      </c>
      <c r="D29" s="206">
        <f t="shared" si="1"/>
        <v>52997.4083423114</v>
      </c>
      <c r="E29" s="206"/>
      <c r="F29" s="207"/>
      <c r="G29" s="206"/>
      <c r="H29" s="206"/>
      <c r="I29" s="206"/>
      <c r="J29" s="206">
        <f>SUM(J30:J32)</f>
        <v>2422.04171960398</v>
      </c>
      <c r="K29" s="206">
        <f t="shared" ref="K29:S29" si="14">SUM(K30:K32)</f>
        <v>3201.62952950964</v>
      </c>
      <c r="L29" s="206">
        <f t="shared" si="14"/>
        <v>4593.87140645345</v>
      </c>
      <c r="M29" s="206">
        <f t="shared" si="14"/>
        <v>5190.4271872344</v>
      </c>
      <c r="N29" s="206">
        <f t="shared" si="14"/>
        <v>5544.7375250536</v>
      </c>
      <c r="O29" s="206">
        <f t="shared" si="14"/>
        <v>5949.12812501098</v>
      </c>
      <c r="P29" s="206">
        <f t="shared" si="14"/>
        <v>6459.73725542582</v>
      </c>
      <c r="Q29" s="206">
        <f t="shared" si="14"/>
        <v>6459.73725542582</v>
      </c>
      <c r="R29" s="206">
        <f t="shared" si="14"/>
        <v>6487.55962328037</v>
      </c>
      <c r="S29" s="206">
        <f t="shared" si="14"/>
        <v>6688.53871531334</v>
      </c>
      <c r="T29" s="238"/>
      <c r="U29" s="238"/>
      <c r="V29" s="238"/>
      <c r="W29" s="238"/>
      <c r="X29" s="238"/>
      <c r="Y29" s="238"/>
      <c r="Z29" s="238"/>
      <c r="AA29" s="238"/>
      <c r="AB29" s="238"/>
      <c r="AC29" s="238"/>
      <c r="AD29" s="239"/>
      <c r="AE29" s="240"/>
      <c r="AF29" s="239"/>
      <c r="AG29" s="240"/>
      <c r="AH29" s="239"/>
      <c r="AI29" s="240"/>
      <c r="AJ29" s="239"/>
      <c r="AK29" s="240"/>
      <c r="AL29" s="239"/>
      <c r="AM29" s="240"/>
      <c r="AN29" s="239"/>
      <c r="AO29" s="240"/>
      <c r="AP29" s="239"/>
      <c r="AQ29" s="240"/>
      <c r="AR29" s="239"/>
      <c r="AS29" s="240"/>
      <c r="AT29" s="239"/>
      <c r="AU29" s="240"/>
      <c r="AV29" s="239"/>
      <c r="AW29" s="240"/>
      <c r="AX29" s="239"/>
      <c r="AY29" s="240"/>
      <c r="AZ29" s="239"/>
      <c r="BA29" s="240"/>
      <c r="BB29" s="239"/>
      <c r="BC29" s="240"/>
      <c r="BD29" s="239"/>
      <c r="BE29" s="240"/>
      <c r="BF29" s="239"/>
      <c r="BG29" s="240"/>
      <c r="BH29" s="239"/>
      <c r="BI29" s="240"/>
      <c r="BJ29" s="239"/>
      <c r="BK29" s="240"/>
      <c r="BL29" s="239"/>
      <c r="BM29" s="240"/>
      <c r="BN29" s="239"/>
      <c r="BO29" s="240"/>
      <c r="BP29" s="239"/>
      <c r="BQ29" s="240"/>
      <c r="BR29" s="239"/>
      <c r="BS29" s="240"/>
      <c r="BT29" s="239"/>
      <c r="BU29" s="240"/>
      <c r="BV29" s="239"/>
      <c r="BW29" s="240"/>
      <c r="BX29" s="239"/>
      <c r="BY29" s="240"/>
      <c r="BZ29" s="239"/>
      <c r="CA29" s="240"/>
      <c r="CB29" s="239"/>
      <c r="CC29" s="240"/>
      <c r="CD29" s="239"/>
      <c r="CE29" s="240"/>
      <c r="CF29" s="239"/>
      <c r="CG29" s="240"/>
      <c r="CH29" s="239"/>
      <c r="CI29" s="240"/>
      <c r="CJ29" s="239"/>
      <c r="CK29" s="240"/>
      <c r="CL29" s="239"/>
      <c r="CM29" s="240"/>
      <c r="CN29" s="239"/>
      <c r="CO29" s="240"/>
      <c r="CP29" s="239"/>
      <c r="CQ29" s="240"/>
      <c r="CR29" s="239"/>
      <c r="CS29" s="240"/>
      <c r="CT29" s="239"/>
      <c r="CU29" s="240"/>
      <c r="CV29" s="239"/>
      <c r="CW29" s="240"/>
      <c r="CX29" s="239"/>
      <c r="CY29" s="240"/>
      <c r="CZ29" s="239"/>
      <c r="DA29" s="240"/>
      <c r="DB29" s="239"/>
      <c r="DC29" s="240"/>
      <c r="DD29" s="239"/>
      <c r="DE29" s="240"/>
      <c r="DF29" s="239"/>
      <c r="DG29" s="240"/>
      <c r="DH29" s="239"/>
      <c r="DI29" s="240"/>
      <c r="DJ29" s="239"/>
      <c r="DK29" s="240"/>
      <c r="DL29" s="239"/>
      <c r="DM29" s="240"/>
      <c r="DN29" s="239"/>
      <c r="DO29" s="240"/>
      <c r="DP29" s="239"/>
      <c r="DQ29" s="240"/>
      <c r="DR29" s="239"/>
      <c r="DS29" s="240"/>
      <c r="DT29" s="239"/>
      <c r="DU29" s="240"/>
      <c r="DV29" s="239"/>
      <c r="DW29" s="240"/>
      <c r="DX29" s="239"/>
      <c r="DY29" s="240"/>
      <c r="DZ29" s="239"/>
      <c r="EA29" s="240"/>
      <c r="EB29" s="239"/>
      <c r="EC29" s="240"/>
      <c r="ED29" s="239"/>
      <c r="EE29" s="240"/>
      <c r="EF29" s="239"/>
      <c r="EG29" s="240"/>
      <c r="EH29" s="239"/>
      <c r="EI29" s="240"/>
      <c r="EJ29" s="239"/>
      <c r="EK29" s="240"/>
      <c r="EL29" s="239"/>
      <c r="EM29" s="240"/>
      <c r="EN29" s="239"/>
      <c r="EO29" s="240"/>
      <c r="EP29" s="239"/>
      <c r="EQ29" s="240"/>
      <c r="ER29" s="239"/>
      <c r="ES29" s="240"/>
      <c r="ET29" s="239"/>
      <c r="EU29" s="240"/>
      <c r="EV29" s="239"/>
      <c r="EW29" s="240"/>
      <c r="EX29" s="239"/>
      <c r="EY29" s="240"/>
      <c r="EZ29" s="239"/>
      <c r="FA29" s="240"/>
      <c r="FB29" s="239"/>
      <c r="FC29" s="240"/>
      <c r="FD29" s="239"/>
      <c r="FE29" s="240"/>
      <c r="FF29" s="239"/>
      <c r="FG29" s="240"/>
      <c r="FH29" s="239"/>
      <c r="FI29" s="240"/>
      <c r="FJ29" s="239"/>
      <c r="FK29" s="240"/>
      <c r="FL29" s="239"/>
      <c r="FM29" s="240"/>
      <c r="FN29" s="239"/>
      <c r="FO29" s="240"/>
      <c r="FP29" s="239"/>
      <c r="FQ29" s="240"/>
      <c r="FR29" s="239"/>
      <c r="FS29" s="240"/>
      <c r="FT29" s="239"/>
      <c r="FU29" s="240"/>
      <c r="FV29" s="239"/>
      <c r="FW29" s="240"/>
      <c r="FX29" s="239"/>
      <c r="FY29" s="240"/>
      <c r="FZ29" s="239"/>
      <c r="GA29" s="240"/>
      <c r="GB29" s="239"/>
      <c r="GC29" s="240"/>
      <c r="GD29" s="239"/>
      <c r="GE29" s="240"/>
      <c r="GF29" s="239"/>
      <c r="GG29" s="240"/>
      <c r="GH29" s="239"/>
      <c r="GI29" s="240"/>
      <c r="GJ29" s="239"/>
      <c r="GK29" s="240"/>
      <c r="GL29" s="239"/>
      <c r="GM29" s="240"/>
      <c r="GN29" s="239"/>
      <c r="GO29" s="240"/>
      <c r="GP29" s="239"/>
      <c r="GQ29" s="240"/>
      <c r="GR29" s="239"/>
      <c r="GS29" s="240"/>
      <c r="GT29" s="239"/>
      <c r="GU29" s="240"/>
      <c r="GV29" s="239"/>
      <c r="GW29" s="240"/>
      <c r="GX29" s="239"/>
      <c r="GY29" s="240"/>
      <c r="GZ29" s="239"/>
      <c r="HA29" s="240"/>
      <c r="HB29" s="239"/>
      <c r="HC29" s="240"/>
      <c r="HD29" s="239"/>
      <c r="HE29" s="240"/>
      <c r="HF29" s="239"/>
      <c r="HG29" s="240"/>
      <c r="HH29" s="239"/>
      <c r="HI29" s="240"/>
      <c r="HJ29" s="239"/>
      <c r="HK29" s="240"/>
      <c r="HL29" s="239"/>
      <c r="HM29" s="240"/>
      <c r="HN29" s="239"/>
      <c r="HO29" s="240"/>
      <c r="HP29" s="239"/>
      <c r="HQ29" s="240"/>
      <c r="HR29" s="239"/>
      <c r="HS29" s="240"/>
      <c r="HT29" s="239"/>
      <c r="HU29" s="240"/>
      <c r="HV29" s="239"/>
      <c r="HW29" s="240"/>
      <c r="HX29" s="239"/>
      <c r="HY29" s="240"/>
      <c r="HZ29" s="239"/>
      <c r="IA29" s="240"/>
      <c r="IB29" s="239"/>
      <c r="IC29" s="240"/>
      <c r="ID29" s="239"/>
      <c r="IE29" s="240"/>
      <c r="IF29" s="239"/>
      <c r="IG29" s="240"/>
      <c r="IH29" s="239"/>
      <c r="II29" s="240"/>
      <c r="IJ29" s="239"/>
      <c r="IK29" s="240"/>
      <c r="IL29" s="239"/>
      <c r="IM29" s="240"/>
      <c r="IN29" s="239"/>
      <c r="IO29" s="240"/>
      <c r="IP29" s="239"/>
      <c r="IQ29" s="240"/>
      <c r="IR29" s="239"/>
      <c r="IS29" s="240"/>
      <c r="IT29" s="239"/>
      <c r="IU29" s="240"/>
      <c r="IV29" s="239"/>
      <c r="IW29" s="240"/>
      <c r="IX29" s="239"/>
      <c r="IY29" s="240"/>
      <c r="IZ29" s="239"/>
      <c r="JA29" s="240"/>
      <c r="JB29" s="239"/>
      <c r="JC29" s="240"/>
      <c r="JD29" s="239"/>
      <c r="JE29" s="240"/>
      <c r="JF29" s="239"/>
      <c r="JG29" s="240"/>
      <c r="JH29" s="239"/>
      <c r="JI29" s="240"/>
      <c r="JJ29" s="239"/>
      <c r="JK29" s="240"/>
      <c r="JL29" s="239"/>
      <c r="JM29" s="240"/>
      <c r="JN29" s="239"/>
      <c r="JO29" s="240"/>
      <c r="JP29" s="239"/>
      <c r="JQ29" s="240"/>
      <c r="JR29" s="239"/>
      <c r="JS29" s="240"/>
      <c r="JT29" s="239"/>
      <c r="JU29" s="240"/>
      <c r="JV29" s="239"/>
      <c r="JW29" s="240"/>
      <c r="JX29" s="239"/>
      <c r="JY29" s="240"/>
      <c r="JZ29" s="239"/>
      <c r="KA29" s="240"/>
      <c r="KB29" s="239"/>
      <c r="KC29" s="240"/>
      <c r="KD29" s="239"/>
      <c r="KE29" s="240"/>
      <c r="KF29" s="239"/>
      <c r="KG29" s="240"/>
      <c r="KH29" s="239"/>
      <c r="KI29" s="240"/>
      <c r="KJ29" s="239"/>
      <c r="KK29" s="240"/>
      <c r="KL29" s="239"/>
      <c r="KM29" s="240"/>
      <c r="KN29" s="239"/>
      <c r="KO29" s="240"/>
      <c r="KP29" s="239"/>
      <c r="KQ29" s="240"/>
      <c r="KR29" s="239"/>
      <c r="KS29" s="240"/>
      <c r="KT29" s="239"/>
      <c r="KU29" s="240"/>
      <c r="KV29" s="239"/>
      <c r="KW29" s="240"/>
      <c r="KX29" s="239"/>
      <c r="KY29" s="240"/>
      <c r="KZ29" s="239"/>
      <c r="LA29" s="240"/>
      <c r="LB29" s="239"/>
      <c r="LC29" s="240"/>
      <c r="LD29" s="239"/>
      <c r="LE29" s="240"/>
      <c r="LF29" s="239"/>
      <c r="LG29" s="240"/>
      <c r="LH29" s="239"/>
      <c r="LI29" s="240"/>
      <c r="LJ29" s="239"/>
      <c r="LK29" s="240"/>
      <c r="LL29" s="239"/>
      <c r="LM29" s="240"/>
      <c r="LN29" s="239"/>
      <c r="LO29" s="240"/>
      <c r="LP29" s="239"/>
      <c r="LQ29" s="240"/>
      <c r="LR29" s="239"/>
      <c r="LS29" s="240"/>
      <c r="LT29" s="239"/>
      <c r="LU29" s="240"/>
      <c r="LV29" s="239"/>
      <c r="LW29" s="240"/>
      <c r="LX29" s="239"/>
      <c r="LY29" s="240"/>
      <c r="LZ29" s="239"/>
      <c r="MA29" s="240"/>
      <c r="MB29" s="239"/>
      <c r="MC29" s="240"/>
      <c r="MD29" s="239"/>
      <c r="ME29" s="240"/>
      <c r="MF29" s="239"/>
      <c r="MG29" s="240"/>
      <c r="MH29" s="239"/>
      <c r="MI29" s="240"/>
      <c r="MJ29" s="239"/>
      <c r="MK29" s="240"/>
      <c r="ML29" s="239"/>
      <c r="MM29" s="240"/>
      <c r="MN29" s="239"/>
      <c r="MO29" s="240"/>
      <c r="MP29" s="239"/>
      <c r="MQ29" s="240"/>
      <c r="MR29" s="239"/>
      <c r="MS29" s="240"/>
      <c r="MT29" s="239"/>
      <c r="MU29" s="240"/>
      <c r="MV29" s="239"/>
      <c r="MW29" s="240"/>
      <c r="MX29" s="239"/>
      <c r="MY29" s="240"/>
      <c r="MZ29" s="239"/>
      <c r="NA29" s="240"/>
      <c r="NB29" s="239"/>
      <c r="NC29" s="240"/>
      <c r="ND29" s="239"/>
      <c r="NE29" s="240"/>
      <c r="NF29" s="239"/>
      <c r="NG29" s="240"/>
      <c r="NH29" s="239"/>
      <c r="NI29" s="240"/>
      <c r="NJ29" s="239"/>
      <c r="NK29" s="240"/>
      <c r="NL29" s="239"/>
      <c r="NM29" s="240"/>
      <c r="NN29" s="239"/>
      <c r="NO29" s="240"/>
      <c r="NP29" s="239"/>
      <c r="NQ29" s="240"/>
      <c r="NR29" s="239"/>
      <c r="NS29" s="240"/>
      <c r="NT29" s="239"/>
      <c r="NU29" s="240"/>
      <c r="NV29" s="239"/>
      <c r="NW29" s="240"/>
      <c r="NX29" s="239"/>
      <c r="NY29" s="240"/>
      <c r="NZ29" s="239"/>
      <c r="OA29" s="240"/>
      <c r="OB29" s="239"/>
      <c r="OC29" s="240"/>
      <c r="OD29" s="239"/>
      <c r="OE29" s="240"/>
      <c r="OF29" s="239"/>
      <c r="OG29" s="240"/>
      <c r="OH29" s="239"/>
      <c r="OI29" s="240"/>
      <c r="OJ29" s="239"/>
      <c r="OK29" s="240"/>
      <c r="OL29" s="239"/>
      <c r="OM29" s="240"/>
      <c r="ON29" s="239"/>
      <c r="OO29" s="240"/>
      <c r="OP29" s="239"/>
      <c r="OQ29" s="240"/>
      <c r="OR29" s="239"/>
      <c r="OS29" s="240"/>
      <c r="OT29" s="239"/>
      <c r="OU29" s="240"/>
      <c r="OV29" s="239"/>
      <c r="OW29" s="240"/>
      <c r="OX29" s="239"/>
      <c r="OY29" s="240"/>
      <c r="OZ29" s="239"/>
      <c r="PA29" s="240"/>
      <c r="PB29" s="239"/>
      <c r="PC29" s="240"/>
      <c r="PD29" s="239"/>
      <c r="PE29" s="240"/>
      <c r="PF29" s="239"/>
      <c r="PG29" s="240"/>
      <c r="PH29" s="239"/>
      <c r="PI29" s="240"/>
      <c r="PJ29" s="239"/>
      <c r="PK29" s="240"/>
      <c r="PL29" s="239"/>
      <c r="PM29" s="240"/>
      <c r="PN29" s="239"/>
      <c r="PO29" s="240"/>
      <c r="PP29" s="239"/>
      <c r="PQ29" s="240"/>
      <c r="PR29" s="239"/>
      <c r="PS29" s="240"/>
      <c r="PT29" s="239"/>
      <c r="PU29" s="240"/>
      <c r="PV29" s="239"/>
      <c r="PW29" s="240"/>
      <c r="PX29" s="239"/>
      <c r="PY29" s="240"/>
      <c r="PZ29" s="239"/>
      <c r="QA29" s="240"/>
      <c r="QB29" s="239"/>
      <c r="QC29" s="240"/>
      <c r="QD29" s="239"/>
      <c r="QE29" s="240"/>
      <c r="QF29" s="239"/>
      <c r="QG29" s="240"/>
      <c r="QH29" s="239"/>
      <c r="QI29" s="240"/>
      <c r="QJ29" s="239"/>
      <c r="QK29" s="240"/>
      <c r="QL29" s="239"/>
      <c r="QM29" s="240"/>
      <c r="QN29" s="239"/>
      <c r="QO29" s="240"/>
      <c r="QP29" s="239"/>
      <c r="QQ29" s="240"/>
      <c r="QR29" s="239"/>
      <c r="QS29" s="240"/>
      <c r="QT29" s="239"/>
      <c r="QU29" s="240"/>
      <c r="QV29" s="239"/>
      <c r="QW29" s="240"/>
      <c r="QX29" s="239"/>
      <c r="QY29" s="240"/>
      <c r="QZ29" s="239"/>
      <c r="RA29" s="240"/>
      <c r="RB29" s="239"/>
      <c r="RC29" s="240"/>
      <c r="RD29" s="239"/>
      <c r="RE29" s="240"/>
      <c r="RF29" s="239"/>
      <c r="RG29" s="240"/>
      <c r="RH29" s="239"/>
      <c r="RI29" s="240"/>
      <c r="RJ29" s="239"/>
      <c r="RK29" s="240"/>
      <c r="RL29" s="239"/>
      <c r="RM29" s="240"/>
      <c r="RN29" s="239"/>
      <c r="RO29" s="240"/>
      <c r="RP29" s="239"/>
      <c r="RQ29" s="240"/>
      <c r="RR29" s="239"/>
      <c r="RS29" s="240"/>
      <c r="RT29" s="239"/>
      <c r="RU29" s="240"/>
      <c r="RV29" s="239"/>
      <c r="RW29" s="240"/>
      <c r="RX29" s="239"/>
      <c r="RY29" s="240"/>
      <c r="RZ29" s="239"/>
      <c r="SA29" s="240"/>
      <c r="SB29" s="239"/>
      <c r="SC29" s="240"/>
      <c r="SD29" s="239"/>
      <c r="SE29" s="240"/>
      <c r="SF29" s="239"/>
      <c r="SG29" s="240"/>
      <c r="SH29" s="239"/>
      <c r="SI29" s="240"/>
      <c r="SJ29" s="239"/>
      <c r="SK29" s="240"/>
      <c r="SL29" s="239"/>
      <c r="SM29" s="240"/>
      <c r="SN29" s="239"/>
      <c r="SO29" s="240"/>
      <c r="SP29" s="239"/>
      <c r="SQ29" s="240"/>
      <c r="SR29" s="239"/>
      <c r="SS29" s="240"/>
      <c r="ST29" s="239"/>
      <c r="SU29" s="240"/>
      <c r="SV29" s="239"/>
      <c r="SW29" s="240"/>
      <c r="SX29" s="239"/>
      <c r="SY29" s="240"/>
      <c r="SZ29" s="239"/>
      <c r="TA29" s="240"/>
      <c r="TB29" s="239"/>
      <c r="TC29" s="240"/>
      <c r="TD29" s="239"/>
      <c r="TE29" s="240"/>
      <c r="TF29" s="239"/>
      <c r="TG29" s="240"/>
      <c r="TH29" s="239"/>
      <c r="TI29" s="240"/>
      <c r="TJ29" s="239"/>
      <c r="TK29" s="240"/>
      <c r="TL29" s="239"/>
      <c r="TM29" s="240"/>
      <c r="TN29" s="239"/>
      <c r="TO29" s="240"/>
      <c r="TP29" s="239"/>
      <c r="TQ29" s="240"/>
      <c r="TR29" s="239"/>
      <c r="TS29" s="240"/>
      <c r="TT29" s="239"/>
      <c r="TU29" s="240"/>
      <c r="TV29" s="239"/>
      <c r="TW29" s="240"/>
      <c r="TX29" s="239"/>
      <c r="TY29" s="240"/>
      <c r="TZ29" s="239"/>
      <c r="UA29" s="240"/>
      <c r="UB29" s="239"/>
      <c r="UC29" s="240"/>
      <c r="UD29" s="239"/>
      <c r="UE29" s="240"/>
      <c r="UF29" s="239"/>
      <c r="UG29" s="240"/>
      <c r="UH29" s="239"/>
      <c r="UI29" s="240"/>
      <c r="UJ29" s="239"/>
      <c r="UK29" s="240"/>
      <c r="UL29" s="239"/>
      <c r="UM29" s="240"/>
      <c r="UN29" s="239"/>
      <c r="UO29" s="240"/>
      <c r="UP29" s="239"/>
      <c r="UQ29" s="240"/>
      <c r="UR29" s="239"/>
      <c r="US29" s="240"/>
      <c r="UT29" s="239"/>
      <c r="UU29" s="240"/>
      <c r="UV29" s="239"/>
      <c r="UW29" s="240"/>
      <c r="UX29" s="239"/>
      <c r="UY29" s="240"/>
      <c r="UZ29" s="239"/>
      <c r="VA29" s="240"/>
      <c r="VB29" s="239"/>
      <c r="VC29" s="240"/>
      <c r="VD29" s="239"/>
      <c r="VE29" s="240"/>
      <c r="VF29" s="239"/>
      <c r="VG29" s="240"/>
      <c r="VH29" s="239"/>
      <c r="VI29" s="240"/>
      <c r="VJ29" s="239"/>
      <c r="VK29" s="240"/>
      <c r="VL29" s="239"/>
      <c r="VM29" s="240"/>
      <c r="VN29" s="239"/>
      <c r="VO29" s="240"/>
      <c r="VP29" s="239"/>
      <c r="VQ29" s="240"/>
      <c r="VR29" s="239"/>
      <c r="VS29" s="240"/>
      <c r="VT29" s="239"/>
      <c r="VU29" s="240"/>
      <c r="VV29" s="239"/>
      <c r="VW29" s="240"/>
      <c r="VX29" s="239"/>
      <c r="VY29" s="240"/>
      <c r="VZ29" s="239"/>
      <c r="WA29" s="240"/>
      <c r="WB29" s="239"/>
      <c r="WC29" s="240"/>
      <c r="WD29" s="239"/>
      <c r="WE29" s="240"/>
      <c r="WF29" s="239"/>
      <c r="WG29" s="240"/>
      <c r="WH29" s="239"/>
      <c r="WI29" s="240"/>
      <c r="WJ29" s="239"/>
      <c r="WK29" s="240"/>
      <c r="WL29" s="239"/>
      <c r="WM29" s="240"/>
      <c r="WN29" s="239"/>
      <c r="WO29" s="240"/>
      <c r="WP29" s="239"/>
      <c r="WQ29" s="240"/>
      <c r="WR29" s="239"/>
      <c r="WS29" s="240"/>
      <c r="WT29" s="239"/>
      <c r="WU29" s="240"/>
      <c r="WV29" s="239"/>
      <c r="WW29" s="240"/>
      <c r="WX29" s="239"/>
      <c r="WY29" s="240"/>
      <c r="WZ29" s="239"/>
      <c r="XA29" s="240"/>
      <c r="XB29" s="239"/>
      <c r="XC29" s="240"/>
      <c r="XD29" s="239"/>
      <c r="XE29" s="240"/>
      <c r="XF29" s="239"/>
      <c r="XG29" s="240"/>
      <c r="XH29" s="239"/>
      <c r="XI29" s="240"/>
      <c r="XJ29" s="239"/>
      <c r="XK29" s="240"/>
      <c r="XL29" s="239"/>
      <c r="XM29" s="240"/>
      <c r="XN29" s="239"/>
      <c r="XO29" s="240"/>
      <c r="XP29" s="239"/>
      <c r="XQ29" s="240"/>
      <c r="XR29" s="239"/>
      <c r="XS29" s="240"/>
      <c r="XT29" s="239"/>
      <c r="XU29" s="240"/>
      <c r="XV29" s="239"/>
      <c r="XW29" s="240"/>
      <c r="XX29" s="239"/>
      <c r="XY29" s="240"/>
      <c r="XZ29" s="239"/>
      <c r="YA29" s="240"/>
      <c r="YB29" s="239"/>
      <c r="YC29" s="240"/>
      <c r="YD29" s="239"/>
      <c r="YE29" s="240"/>
      <c r="YF29" s="239"/>
      <c r="YG29" s="240"/>
      <c r="YH29" s="239"/>
      <c r="YI29" s="240"/>
      <c r="YJ29" s="239"/>
      <c r="YK29" s="240"/>
      <c r="YL29" s="239"/>
      <c r="YM29" s="240"/>
      <c r="YN29" s="239"/>
      <c r="YO29" s="240"/>
      <c r="YP29" s="239"/>
      <c r="YQ29" s="240"/>
      <c r="YR29" s="239"/>
      <c r="YS29" s="240"/>
      <c r="YT29" s="239"/>
      <c r="YU29" s="240"/>
      <c r="YV29" s="239"/>
      <c r="YW29" s="240"/>
      <c r="YX29" s="239"/>
      <c r="YY29" s="240"/>
      <c r="YZ29" s="239"/>
      <c r="ZA29" s="240"/>
      <c r="ZB29" s="239"/>
      <c r="ZC29" s="240"/>
      <c r="ZD29" s="239"/>
      <c r="ZE29" s="240"/>
      <c r="ZF29" s="239"/>
      <c r="ZG29" s="240"/>
      <c r="ZH29" s="239"/>
      <c r="ZI29" s="240"/>
      <c r="ZJ29" s="239"/>
      <c r="ZK29" s="240"/>
      <c r="ZL29" s="239"/>
      <c r="ZM29" s="240"/>
      <c r="ZN29" s="239"/>
      <c r="ZO29" s="240"/>
      <c r="ZP29" s="239"/>
      <c r="ZQ29" s="240"/>
      <c r="ZR29" s="239"/>
      <c r="ZS29" s="240"/>
      <c r="ZT29" s="239"/>
      <c r="ZU29" s="240"/>
      <c r="ZV29" s="239"/>
      <c r="ZW29" s="240"/>
      <c r="ZX29" s="239"/>
      <c r="ZY29" s="240"/>
      <c r="ZZ29" s="239"/>
      <c r="AAA29" s="240"/>
      <c r="AAB29" s="239"/>
      <c r="AAC29" s="240"/>
      <c r="AAD29" s="239"/>
      <c r="AAE29" s="240"/>
      <c r="AAF29" s="239"/>
      <c r="AAG29" s="240"/>
      <c r="AAH29" s="239"/>
      <c r="AAI29" s="240"/>
      <c r="AAJ29" s="239"/>
      <c r="AAK29" s="240"/>
      <c r="AAL29" s="239"/>
      <c r="AAM29" s="240"/>
      <c r="AAN29" s="239"/>
      <c r="AAO29" s="240"/>
      <c r="AAP29" s="239"/>
      <c r="AAQ29" s="240"/>
      <c r="AAR29" s="239"/>
      <c r="AAS29" s="240"/>
      <c r="AAT29" s="239"/>
      <c r="AAU29" s="240"/>
      <c r="AAV29" s="239"/>
      <c r="AAW29" s="240"/>
      <c r="AAX29" s="239"/>
      <c r="AAY29" s="240"/>
      <c r="AAZ29" s="239"/>
      <c r="ABA29" s="240"/>
      <c r="ABB29" s="239"/>
      <c r="ABC29" s="240"/>
      <c r="ABD29" s="239"/>
      <c r="ABE29" s="240"/>
      <c r="ABF29" s="239"/>
      <c r="ABG29" s="240"/>
      <c r="ABH29" s="239"/>
      <c r="ABI29" s="240"/>
      <c r="ABJ29" s="239"/>
      <c r="ABK29" s="240"/>
      <c r="ABL29" s="239"/>
      <c r="ABM29" s="240"/>
      <c r="ABN29" s="239"/>
      <c r="ABO29" s="240"/>
      <c r="ABP29" s="239"/>
      <c r="ABQ29" s="240"/>
      <c r="ABR29" s="239"/>
      <c r="ABS29" s="240"/>
      <c r="ABT29" s="239"/>
      <c r="ABU29" s="240"/>
      <c r="ABV29" s="239"/>
      <c r="ABW29" s="240"/>
      <c r="ABX29" s="239"/>
      <c r="ABY29" s="240"/>
      <c r="ABZ29" s="239"/>
      <c r="ACA29" s="240"/>
      <c r="ACB29" s="239"/>
      <c r="ACC29" s="240"/>
      <c r="ACD29" s="239"/>
      <c r="ACE29" s="240"/>
      <c r="ACF29" s="239"/>
      <c r="ACG29" s="240"/>
      <c r="ACH29" s="239"/>
      <c r="ACI29" s="240"/>
      <c r="ACJ29" s="239"/>
      <c r="ACK29" s="240"/>
      <c r="ACL29" s="239"/>
      <c r="ACM29" s="240"/>
      <c r="ACN29" s="239"/>
      <c r="ACO29" s="240"/>
      <c r="ACP29" s="239"/>
      <c r="ACQ29" s="240"/>
      <c r="ACR29" s="239"/>
      <c r="ACS29" s="240"/>
      <c r="ACT29" s="239"/>
      <c r="ACU29" s="240"/>
      <c r="ACV29" s="239"/>
      <c r="ACW29" s="240"/>
      <c r="ACX29" s="239"/>
      <c r="ACY29" s="240"/>
      <c r="ACZ29" s="239"/>
      <c r="ADA29" s="240"/>
      <c r="ADB29" s="239"/>
      <c r="ADC29" s="240"/>
      <c r="ADD29" s="239"/>
      <c r="ADE29" s="240"/>
      <c r="ADF29" s="239"/>
      <c r="ADG29" s="240"/>
      <c r="ADH29" s="239"/>
      <c r="ADI29" s="240"/>
      <c r="ADJ29" s="239"/>
      <c r="ADK29" s="240"/>
      <c r="ADL29" s="239"/>
      <c r="ADM29" s="240"/>
      <c r="ADN29" s="239"/>
      <c r="ADO29" s="240"/>
      <c r="ADP29" s="239"/>
      <c r="ADQ29" s="240"/>
      <c r="ADR29" s="239"/>
      <c r="ADS29" s="240"/>
      <c r="ADT29" s="239"/>
      <c r="ADU29" s="240"/>
      <c r="ADV29" s="239"/>
      <c r="ADW29" s="240"/>
      <c r="ADX29" s="239"/>
      <c r="ADY29" s="240"/>
      <c r="ADZ29" s="239"/>
      <c r="AEA29" s="240"/>
      <c r="AEB29" s="239"/>
      <c r="AEC29" s="240"/>
      <c r="AED29" s="239"/>
      <c r="AEE29" s="240"/>
      <c r="AEF29" s="239"/>
      <c r="AEG29" s="240"/>
      <c r="AEH29" s="239"/>
      <c r="AEI29" s="240"/>
      <c r="AEJ29" s="239"/>
      <c r="AEK29" s="240"/>
      <c r="AEL29" s="239"/>
      <c r="AEM29" s="240"/>
      <c r="AEN29" s="239"/>
      <c r="AEO29" s="240"/>
      <c r="AEP29" s="239"/>
      <c r="AEQ29" s="240"/>
      <c r="AER29" s="239"/>
      <c r="AES29" s="240"/>
      <c r="AET29" s="239"/>
      <c r="AEU29" s="240"/>
      <c r="AEV29" s="239"/>
      <c r="AEW29" s="240"/>
      <c r="AEX29" s="239"/>
      <c r="AEY29" s="240"/>
      <c r="AEZ29" s="239"/>
      <c r="AFA29" s="240"/>
      <c r="AFB29" s="239"/>
      <c r="AFC29" s="240"/>
      <c r="AFD29" s="239"/>
      <c r="AFE29" s="240"/>
      <c r="AFF29" s="239"/>
      <c r="AFG29" s="240"/>
      <c r="AFH29" s="239"/>
      <c r="AFI29" s="240"/>
      <c r="AFJ29" s="239"/>
      <c r="AFK29" s="240"/>
      <c r="AFL29" s="239"/>
      <c r="AFM29" s="240"/>
      <c r="AFN29" s="239"/>
      <c r="AFO29" s="240"/>
      <c r="AFP29" s="239"/>
      <c r="AFQ29" s="240"/>
      <c r="AFR29" s="239"/>
      <c r="AFS29" s="240"/>
      <c r="AFT29" s="239"/>
      <c r="AFU29" s="240"/>
      <c r="AFV29" s="239"/>
      <c r="AFW29" s="240"/>
      <c r="AFX29" s="239"/>
      <c r="AFY29" s="240"/>
      <c r="AFZ29" s="239"/>
      <c r="AGA29" s="240"/>
      <c r="AGB29" s="239"/>
      <c r="AGC29" s="240"/>
      <c r="AGD29" s="239"/>
      <c r="AGE29" s="240"/>
      <c r="AGF29" s="239"/>
      <c r="AGG29" s="240"/>
      <c r="AGH29" s="239"/>
      <c r="AGI29" s="240"/>
      <c r="AGJ29" s="239"/>
      <c r="AGK29" s="240"/>
      <c r="AGL29" s="239"/>
      <c r="AGM29" s="240"/>
      <c r="AGN29" s="239"/>
      <c r="AGO29" s="240"/>
      <c r="AGP29" s="239"/>
      <c r="AGQ29" s="240"/>
      <c r="AGR29" s="239"/>
      <c r="AGS29" s="240"/>
      <c r="AGT29" s="239"/>
      <c r="AGU29" s="240"/>
      <c r="AGV29" s="239"/>
      <c r="AGW29" s="240"/>
      <c r="AGX29" s="239"/>
      <c r="AGY29" s="240"/>
      <c r="AGZ29" s="239"/>
      <c r="AHA29" s="240"/>
      <c r="AHB29" s="239"/>
      <c r="AHC29" s="240"/>
      <c r="AHD29" s="239"/>
      <c r="AHE29" s="240"/>
      <c r="AHF29" s="239"/>
      <c r="AHG29" s="240"/>
      <c r="AHH29" s="239"/>
      <c r="AHI29" s="240"/>
      <c r="AHJ29" s="239"/>
      <c r="AHK29" s="240"/>
      <c r="AHL29" s="239"/>
      <c r="AHM29" s="240"/>
      <c r="AHN29" s="239"/>
      <c r="AHO29" s="240"/>
      <c r="AHP29" s="239"/>
      <c r="AHQ29" s="240"/>
      <c r="AHR29" s="239"/>
      <c r="AHS29" s="240"/>
      <c r="AHT29" s="239"/>
      <c r="AHU29" s="240"/>
      <c r="AHV29" s="239"/>
      <c r="AHW29" s="240"/>
      <c r="AHX29" s="239"/>
      <c r="AHY29" s="240"/>
      <c r="AHZ29" s="239"/>
      <c r="AIA29" s="240"/>
      <c r="AIB29" s="239"/>
      <c r="AIC29" s="240"/>
      <c r="AID29" s="239"/>
      <c r="AIE29" s="240"/>
      <c r="AIF29" s="239"/>
      <c r="AIG29" s="240"/>
      <c r="AIH29" s="239"/>
      <c r="AII29" s="240"/>
      <c r="AIJ29" s="239"/>
      <c r="AIK29" s="240"/>
      <c r="AIL29" s="239"/>
      <c r="AIM29" s="240"/>
      <c r="AIN29" s="239"/>
      <c r="AIO29" s="240"/>
      <c r="AIP29" s="239"/>
      <c r="AIQ29" s="240"/>
      <c r="AIR29" s="239"/>
      <c r="AIS29" s="240"/>
      <c r="AIT29" s="239"/>
      <c r="AIU29" s="240"/>
      <c r="AIV29" s="239"/>
      <c r="AIW29" s="240"/>
      <c r="AIX29" s="239"/>
      <c r="AIY29" s="240"/>
      <c r="AIZ29" s="239"/>
      <c r="AJA29" s="240"/>
      <c r="AJB29" s="239"/>
      <c r="AJC29" s="240"/>
      <c r="AJD29" s="239"/>
      <c r="AJE29" s="240"/>
      <c r="AJF29" s="239"/>
      <c r="AJG29" s="240"/>
      <c r="AJH29" s="239"/>
      <c r="AJI29" s="240"/>
      <c r="AJJ29" s="239"/>
      <c r="AJK29" s="240"/>
      <c r="AJL29" s="239"/>
      <c r="AJM29" s="240"/>
      <c r="AJN29" s="239"/>
      <c r="AJO29" s="240"/>
      <c r="AJP29" s="239"/>
      <c r="AJQ29" s="240"/>
      <c r="AJR29" s="239"/>
      <c r="AJS29" s="240"/>
      <c r="AJT29" s="239"/>
      <c r="AJU29" s="240"/>
      <c r="AJV29" s="239"/>
      <c r="AJW29" s="240"/>
      <c r="AJX29" s="239"/>
      <c r="AJY29" s="240"/>
      <c r="AJZ29" s="239"/>
      <c r="AKA29" s="240"/>
      <c r="AKB29" s="239"/>
      <c r="AKC29" s="240"/>
      <c r="AKD29" s="239"/>
      <c r="AKE29" s="240"/>
      <c r="AKF29" s="239"/>
      <c r="AKG29" s="240"/>
      <c r="AKH29" s="239"/>
      <c r="AKI29" s="240"/>
      <c r="AKJ29" s="239"/>
      <c r="AKK29" s="240"/>
      <c r="AKL29" s="239"/>
      <c r="AKM29" s="240"/>
      <c r="AKN29" s="239"/>
      <c r="AKO29" s="240"/>
      <c r="AKP29" s="239"/>
      <c r="AKQ29" s="240"/>
      <c r="AKR29" s="239"/>
      <c r="AKS29" s="240"/>
      <c r="AKT29" s="239"/>
      <c r="AKU29" s="240"/>
      <c r="AKV29" s="239"/>
      <c r="AKW29" s="240"/>
      <c r="AKX29" s="239"/>
      <c r="AKY29" s="240"/>
      <c r="AKZ29" s="239"/>
      <c r="ALA29" s="240"/>
      <c r="ALB29" s="239"/>
      <c r="ALC29" s="240"/>
      <c r="ALD29" s="239"/>
      <c r="ALE29" s="240"/>
      <c r="ALF29" s="239"/>
      <c r="ALG29" s="240"/>
      <c r="ALH29" s="239"/>
      <c r="ALI29" s="240"/>
      <c r="ALJ29" s="239"/>
      <c r="ALK29" s="240"/>
      <c r="ALL29" s="239"/>
      <c r="ALM29" s="240"/>
      <c r="ALN29" s="239"/>
      <c r="ALO29" s="240"/>
      <c r="ALP29" s="239"/>
      <c r="ALQ29" s="240"/>
      <c r="ALR29" s="239"/>
      <c r="ALS29" s="240"/>
      <c r="ALT29" s="239"/>
      <c r="ALU29" s="240"/>
      <c r="ALV29" s="239"/>
      <c r="ALW29" s="240"/>
      <c r="ALX29" s="239"/>
      <c r="ALY29" s="240"/>
      <c r="ALZ29" s="239"/>
      <c r="AMA29" s="240"/>
      <c r="AMB29" s="239"/>
      <c r="AMC29" s="240"/>
      <c r="AMD29" s="239"/>
      <c r="AME29" s="240"/>
      <c r="AMF29" s="239"/>
      <c r="AMG29" s="240"/>
      <c r="AMH29" s="239"/>
      <c r="AMI29" s="240"/>
      <c r="AMJ29" s="239"/>
      <c r="AMK29" s="240"/>
      <c r="AML29" s="239"/>
      <c r="AMM29" s="240"/>
      <c r="AMN29" s="239"/>
      <c r="AMO29" s="240"/>
      <c r="AMP29" s="239"/>
      <c r="AMQ29" s="240"/>
      <c r="AMR29" s="239"/>
      <c r="AMS29" s="240"/>
      <c r="AMT29" s="239"/>
      <c r="AMU29" s="240"/>
      <c r="AMV29" s="239"/>
      <c r="AMW29" s="240"/>
      <c r="AMX29" s="239"/>
      <c r="AMY29" s="240"/>
      <c r="AMZ29" s="239"/>
      <c r="ANA29" s="240"/>
      <c r="ANB29" s="239"/>
      <c r="ANC29" s="240"/>
      <c r="AND29" s="239"/>
      <c r="ANE29" s="240"/>
      <c r="ANF29" s="239"/>
      <c r="ANG29" s="240"/>
      <c r="ANH29" s="239"/>
      <c r="ANI29" s="240"/>
      <c r="ANJ29" s="239"/>
      <c r="ANK29" s="240"/>
      <c r="ANL29" s="239"/>
      <c r="ANM29" s="240"/>
      <c r="ANN29" s="239"/>
      <c r="ANO29" s="240"/>
      <c r="ANP29" s="239"/>
      <c r="ANQ29" s="240"/>
      <c r="ANR29" s="239"/>
      <c r="ANS29" s="240"/>
      <c r="ANT29" s="239"/>
      <c r="ANU29" s="240"/>
      <c r="ANV29" s="239"/>
      <c r="ANW29" s="240"/>
      <c r="ANX29" s="239"/>
      <c r="ANY29" s="240"/>
      <c r="ANZ29" s="239"/>
      <c r="AOA29" s="240"/>
      <c r="AOB29" s="239"/>
      <c r="AOC29" s="240"/>
      <c r="AOD29" s="239"/>
      <c r="AOE29" s="240"/>
      <c r="AOF29" s="239"/>
      <c r="AOG29" s="240"/>
      <c r="AOH29" s="239"/>
      <c r="AOI29" s="240"/>
      <c r="AOJ29" s="239"/>
      <c r="AOK29" s="240"/>
      <c r="AOL29" s="239"/>
      <c r="AOM29" s="240"/>
      <c r="AON29" s="239"/>
      <c r="AOO29" s="240"/>
      <c r="AOP29" s="239"/>
      <c r="AOQ29" s="240"/>
      <c r="AOR29" s="239"/>
      <c r="AOS29" s="240"/>
      <c r="AOT29" s="239"/>
      <c r="AOU29" s="240"/>
      <c r="AOV29" s="239"/>
      <c r="AOW29" s="240"/>
      <c r="AOX29" s="239"/>
      <c r="AOY29" s="240"/>
      <c r="AOZ29" s="239"/>
      <c r="APA29" s="240"/>
      <c r="APB29" s="239"/>
      <c r="APC29" s="240"/>
      <c r="APD29" s="239"/>
      <c r="APE29" s="240"/>
      <c r="APF29" s="239"/>
      <c r="APG29" s="240"/>
      <c r="APH29" s="239"/>
      <c r="API29" s="240"/>
      <c r="APJ29" s="239"/>
      <c r="APK29" s="240"/>
      <c r="APL29" s="239"/>
      <c r="APM29" s="240"/>
      <c r="APN29" s="239"/>
      <c r="APO29" s="240"/>
      <c r="APP29" s="239"/>
      <c r="APQ29" s="240"/>
      <c r="APR29" s="239"/>
      <c r="APS29" s="240"/>
      <c r="APT29" s="239"/>
      <c r="APU29" s="240"/>
      <c r="APV29" s="239"/>
      <c r="APW29" s="240"/>
      <c r="APX29" s="239"/>
      <c r="APY29" s="240"/>
      <c r="APZ29" s="239"/>
      <c r="AQA29" s="240"/>
      <c r="AQB29" s="239"/>
      <c r="AQC29" s="240"/>
      <c r="AQD29" s="239"/>
      <c r="AQE29" s="240"/>
      <c r="AQF29" s="239"/>
      <c r="AQG29" s="240"/>
      <c r="AQH29" s="239"/>
      <c r="AQI29" s="240"/>
      <c r="AQJ29" s="239"/>
      <c r="AQK29" s="240"/>
      <c r="AQL29" s="239"/>
      <c r="AQM29" s="240"/>
      <c r="AQN29" s="239"/>
      <c r="AQO29" s="240"/>
      <c r="AQP29" s="239"/>
      <c r="AQQ29" s="240"/>
      <c r="AQR29" s="239"/>
      <c r="AQS29" s="240"/>
      <c r="AQT29" s="239"/>
      <c r="AQU29" s="240"/>
      <c r="AQV29" s="239"/>
      <c r="AQW29" s="240"/>
      <c r="AQX29" s="239"/>
      <c r="AQY29" s="240"/>
      <c r="AQZ29" s="239"/>
      <c r="ARA29" s="240"/>
      <c r="ARB29" s="239"/>
      <c r="ARC29" s="240"/>
      <c r="ARD29" s="239"/>
      <c r="ARE29" s="240"/>
      <c r="ARF29" s="239"/>
      <c r="ARG29" s="240"/>
      <c r="ARH29" s="239"/>
      <c r="ARI29" s="240"/>
      <c r="ARJ29" s="239"/>
      <c r="ARK29" s="240"/>
      <c r="ARL29" s="239"/>
      <c r="ARM29" s="240"/>
      <c r="ARN29" s="239"/>
      <c r="ARO29" s="240"/>
      <c r="ARP29" s="239"/>
      <c r="ARQ29" s="240"/>
      <c r="ARR29" s="239"/>
      <c r="ARS29" s="240"/>
      <c r="ART29" s="239"/>
      <c r="ARU29" s="240"/>
      <c r="ARV29" s="239"/>
      <c r="ARW29" s="240"/>
      <c r="ARX29" s="239"/>
      <c r="ARY29" s="240"/>
      <c r="ARZ29" s="239"/>
      <c r="ASA29" s="240"/>
      <c r="ASB29" s="239"/>
      <c r="ASC29" s="240"/>
      <c r="ASD29" s="239"/>
      <c r="ASE29" s="240"/>
      <c r="ASF29" s="239"/>
      <c r="ASG29" s="240"/>
      <c r="ASH29" s="239"/>
      <c r="ASI29" s="240"/>
      <c r="ASJ29" s="239"/>
      <c r="ASK29" s="240"/>
      <c r="ASL29" s="239"/>
      <c r="ASM29" s="240"/>
      <c r="ASN29" s="239"/>
      <c r="ASO29" s="240"/>
      <c r="ASP29" s="239"/>
      <c r="ASQ29" s="240"/>
      <c r="ASR29" s="239"/>
      <c r="ASS29" s="240"/>
      <c r="AST29" s="239"/>
      <c r="ASU29" s="240"/>
      <c r="ASV29" s="239"/>
      <c r="ASW29" s="240"/>
      <c r="ASX29" s="239"/>
      <c r="ASY29" s="240"/>
      <c r="ASZ29" s="239"/>
      <c r="ATA29" s="240"/>
      <c r="ATB29" s="239"/>
      <c r="ATC29" s="240"/>
      <c r="ATD29" s="239"/>
      <c r="ATE29" s="240"/>
      <c r="ATF29" s="239"/>
      <c r="ATG29" s="240"/>
      <c r="ATH29" s="239"/>
      <c r="ATI29" s="240"/>
      <c r="ATJ29" s="239"/>
      <c r="ATK29" s="240"/>
      <c r="ATL29" s="239"/>
      <c r="ATM29" s="240"/>
      <c r="ATN29" s="239"/>
      <c r="ATO29" s="240"/>
      <c r="ATP29" s="239"/>
      <c r="ATQ29" s="240"/>
      <c r="ATR29" s="239"/>
      <c r="ATS29" s="240"/>
      <c r="ATT29" s="239"/>
      <c r="ATU29" s="240"/>
      <c r="ATV29" s="239"/>
      <c r="ATW29" s="240"/>
      <c r="ATX29" s="239"/>
      <c r="ATY29" s="240"/>
      <c r="ATZ29" s="239"/>
      <c r="AUA29" s="240"/>
      <c r="AUB29" s="239"/>
      <c r="AUC29" s="240"/>
      <c r="AUD29" s="239"/>
      <c r="AUE29" s="240"/>
      <c r="AUF29" s="239"/>
      <c r="AUG29" s="240"/>
      <c r="AUH29" s="239"/>
      <c r="AUI29" s="240"/>
      <c r="AUJ29" s="239"/>
      <c r="AUK29" s="240"/>
      <c r="AUL29" s="239"/>
      <c r="AUM29" s="240"/>
      <c r="AUN29" s="239"/>
      <c r="AUO29" s="240"/>
      <c r="AUP29" s="239"/>
      <c r="AUQ29" s="240"/>
      <c r="AUR29" s="239"/>
      <c r="AUS29" s="240"/>
      <c r="AUT29" s="239"/>
      <c r="AUU29" s="240"/>
      <c r="AUV29" s="239"/>
      <c r="AUW29" s="240"/>
      <c r="AUX29" s="239"/>
      <c r="AUY29" s="240"/>
      <c r="AUZ29" s="239"/>
      <c r="AVA29" s="240"/>
      <c r="AVB29" s="239"/>
      <c r="AVC29" s="240"/>
      <c r="AVD29" s="239"/>
      <c r="AVE29" s="240"/>
      <c r="AVF29" s="239"/>
      <c r="AVG29" s="240"/>
      <c r="AVH29" s="239"/>
      <c r="AVI29" s="240"/>
      <c r="AVJ29" s="239"/>
      <c r="AVK29" s="240"/>
      <c r="AVL29" s="239"/>
      <c r="AVM29" s="240"/>
      <c r="AVN29" s="239"/>
      <c r="AVO29" s="240"/>
      <c r="AVP29" s="239"/>
      <c r="AVQ29" s="240"/>
      <c r="AVR29" s="239"/>
      <c r="AVS29" s="240"/>
      <c r="AVT29" s="239"/>
      <c r="AVU29" s="240"/>
      <c r="AVV29" s="239"/>
      <c r="AVW29" s="240"/>
      <c r="AVX29" s="239"/>
      <c r="AVY29" s="240"/>
      <c r="AVZ29" s="239"/>
      <c r="AWA29" s="240"/>
      <c r="AWB29" s="239"/>
      <c r="AWC29" s="240"/>
      <c r="AWD29" s="239"/>
      <c r="AWE29" s="240"/>
      <c r="AWF29" s="239"/>
      <c r="AWG29" s="240"/>
      <c r="AWH29" s="239"/>
      <c r="AWI29" s="240"/>
      <c r="AWJ29" s="239"/>
      <c r="AWK29" s="240"/>
      <c r="AWL29" s="239"/>
      <c r="AWM29" s="240"/>
      <c r="AWN29" s="239"/>
      <c r="AWO29" s="240"/>
      <c r="AWP29" s="239"/>
      <c r="AWQ29" s="240"/>
      <c r="AWR29" s="239"/>
      <c r="AWS29" s="240"/>
      <c r="AWT29" s="239"/>
      <c r="AWU29" s="240"/>
      <c r="AWV29" s="239"/>
      <c r="AWW29" s="240"/>
      <c r="AWX29" s="239"/>
      <c r="AWY29" s="240"/>
      <c r="AWZ29" s="239"/>
      <c r="AXA29" s="240"/>
      <c r="AXB29" s="239"/>
      <c r="AXC29" s="240"/>
      <c r="AXD29" s="239"/>
      <c r="AXE29" s="240"/>
      <c r="AXF29" s="239"/>
      <c r="AXG29" s="240"/>
      <c r="AXH29" s="239"/>
      <c r="AXI29" s="240"/>
      <c r="AXJ29" s="239"/>
      <c r="AXK29" s="240"/>
      <c r="AXL29" s="239"/>
      <c r="AXM29" s="240"/>
      <c r="AXN29" s="239"/>
      <c r="AXO29" s="240"/>
      <c r="AXP29" s="239"/>
      <c r="AXQ29" s="240"/>
      <c r="AXR29" s="239"/>
      <c r="AXS29" s="240"/>
      <c r="AXT29" s="239"/>
      <c r="AXU29" s="240"/>
      <c r="AXV29" s="239"/>
      <c r="AXW29" s="240"/>
      <c r="AXX29" s="239"/>
      <c r="AXY29" s="240"/>
      <c r="AXZ29" s="239"/>
      <c r="AYA29" s="240"/>
      <c r="AYB29" s="239"/>
      <c r="AYC29" s="240"/>
      <c r="AYD29" s="239"/>
      <c r="AYE29" s="240"/>
      <c r="AYF29" s="239"/>
      <c r="AYG29" s="240"/>
      <c r="AYH29" s="239"/>
      <c r="AYI29" s="240"/>
      <c r="AYJ29" s="239"/>
      <c r="AYK29" s="240"/>
      <c r="AYL29" s="239"/>
      <c r="AYM29" s="240"/>
      <c r="AYN29" s="239"/>
      <c r="AYO29" s="240"/>
      <c r="AYP29" s="239"/>
      <c r="AYQ29" s="240"/>
      <c r="AYR29" s="239"/>
      <c r="AYS29" s="240"/>
      <c r="AYT29" s="239"/>
      <c r="AYU29" s="240"/>
      <c r="AYV29" s="239"/>
      <c r="AYW29" s="240"/>
      <c r="AYX29" s="239"/>
      <c r="AYY29" s="240"/>
      <c r="AYZ29" s="239"/>
      <c r="AZA29" s="240"/>
      <c r="AZB29" s="239"/>
      <c r="AZC29" s="240"/>
      <c r="AZD29" s="239"/>
      <c r="AZE29" s="240"/>
      <c r="AZF29" s="239"/>
      <c r="AZG29" s="240"/>
      <c r="AZH29" s="239"/>
      <c r="AZI29" s="240"/>
      <c r="AZJ29" s="239"/>
      <c r="AZK29" s="240"/>
      <c r="AZL29" s="239"/>
      <c r="AZM29" s="240"/>
      <c r="AZN29" s="239"/>
      <c r="AZO29" s="240"/>
      <c r="AZP29" s="239"/>
      <c r="AZQ29" s="240"/>
      <c r="AZR29" s="239"/>
      <c r="AZS29" s="240"/>
      <c r="AZT29" s="239"/>
      <c r="AZU29" s="240"/>
      <c r="AZV29" s="239"/>
      <c r="AZW29" s="240"/>
      <c r="AZX29" s="239"/>
      <c r="AZY29" s="240"/>
      <c r="AZZ29" s="239"/>
      <c r="BAA29" s="240"/>
      <c r="BAB29" s="239"/>
      <c r="BAC29" s="240"/>
      <c r="BAD29" s="239"/>
      <c r="BAE29" s="240"/>
      <c r="BAF29" s="239"/>
      <c r="BAG29" s="240"/>
      <c r="BAH29" s="239"/>
      <c r="BAI29" s="240"/>
      <c r="BAJ29" s="239"/>
      <c r="BAK29" s="240"/>
      <c r="BAL29" s="239"/>
      <c r="BAM29" s="240"/>
      <c r="BAN29" s="239"/>
      <c r="BAO29" s="240"/>
      <c r="BAP29" s="239"/>
      <c r="BAQ29" s="240"/>
      <c r="BAR29" s="239"/>
      <c r="BAS29" s="240"/>
      <c r="BAT29" s="239"/>
      <c r="BAU29" s="240"/>
      <c r="BAV29" s="239"/>
      <c r="BAW29" s="240"/>
      <c r="BAX29" s="239"/>
      <c r="BAY29" s="240"/>
      <c r="BAZ29" s="239"/>
      <c r="BBA29" s="240"/>
      <c r="BBB29" s="239"/>
      <c r="BBC29" s="240"/>
      <c r="BBD29" s="239"/>
      <c r="BBE29" s="240"/>
      <c r="BBF29" s="239"/>
      <c r="BBG29" s="240"/>
      <c r="BBH29" s="239"/>
      <c r="BBI29" s="240"/>
      <c r="BBJ29" s="239"/>
      <c r="BBK29" s="240"/>
      <c r="BBL29" s="239"/>
      <c r="BBM29" s="240"/>
      <c r="BBN29" s="239"/>
      <c r="BBO29" s="240"/>
      <c r="BBP29" s="239"/>
      <c r="BBQ29" s="240"/>
      <c r="BBR29" s="239"/>
      <c r="BBS29" s="240"/>
      <c r="BBT29" s="239"/>
      <c r="BBU29" s="240"/>
      <c r="BBV29" s="239"/>
      <c r="BBW29" s="240"/>
      <c r="BBX29" s="239"/>
      <c r="BBY29" s="240"/>
      <c r="BBZ29" s="239"/>
      <c r="BCA29" s="240"/>
      <c r="BCB29" s="239"/>
      <c r="BCC29" s="240"/>
      <c r="BCD29" s="239"/>
      <c r="BCE29" s="240"/>
      <c r="BCF29" s="239"/>
      <c r="BCG29" s="240"/>
      <c r="BCH29" s="239"/>
      <c r="BCI29" s="240"/>
      <c r="BCJ29" s="239"/>
      <c r="BCK29" s="240"/>
      <c r="BCL29" s="239"/>
      <c r="BCM29" s="240"/>
      <c r="BCN29" s="239"/>
      <c r="BCO29" s="240"/>
      <c r="BCP29" s="239"/>
      <c r="BCQ29" s="240"/>
      <c r="BCR29" s="239"/>
      <c r="BCS29" s="240"/>
      <c r="BCT29" s="239"/>
      <c r="BCU29" s="240"/>
      <c r="BCV29" s="239"/>
      <c r="BCW29" s="240"/>
      <c r="BCX29" s="239"/>
      <c r="BCY29" s="240"/>
      <c r="BCZ29" s="239"/>
      <c r="BDA29" s="240"/>
      <c r="BDB29" s="239"/>
      <c r="BDC29" s="240"/>
      <c r="BDD29" s="239"/>
      <c r="BDE29" s="240"/>
      <c r="BDF29" s="239"/>
      <c r="BDG29" s="240"/>
      <c r="BDH29" s="239"/>
      <c r="BDI29" s="240"/>
      <c r="BDJ29" s="239"/>
      <c r="BDK29" s="240"/>
      <c r="BDL29" s="239"/>
      <c r="BDM29" s="240"/>
      <c r="BDN29" s="239"/>
      <c r="BDO29" s="240"/>
      <c r="BDP29" s="239"/>
      <c r="BDQ29" s="240"/>
      <c r="BDR29" s="239"/>
      <c r="BDS29" s="240"/>
      <c r="BDT29" s="239"/>
      <c r="BDU29" s="240"/>
      <c r="BDV29" s="239"/>
      <c r="BDW29" s="240"/>
      <c r="BDX29" s="239"/>
      <c r="BDY29" s="240"/>
      <c r="BDZ29" s="239"/>
      <c r="BEA29" s="240"/>
      <c r="BEB29" s="239"/>
      <c r="BEC29" s="240"/>
      <c r="BED29" s="239"/>
      <c r="BEE29" s="240"/>
      <c r="BEF29" s="239"/>
      <c r="BEG29" s="240"/>
      <c r="BEH29" s="239"/>
      <c r="BEI29" s="240"/>
      <c r="BEJ29" s="239"/>
      <c r="BEK29" s="240"/>
      <c r="BEL29" s="239"/>
      <c r="BEM29" s="240"/>
      <c r="BEN29" s="239"/>
      <c r="BEO29" s="240"/>
      <c r="BEP29" s="239"/>
      <c r="BEQ29" s="240"/>
      <c r="BER29" s="239"/>
      <c r="BES29" s="240"/>
      <c r="BET29" s="239"/>
      <c r="BEU29" s="240"/>
      <c r="BEV29" s="239"/>
      <c r="BEW29" s="240"/>
      <c r="BEX29" s="239"/>
      <c r="BEY29" s="240"/>
      <c r="BEZ29" s="239"/>
      <c r="BFA29" s="240"/>
      <c r="BFB29" s="239"/>
      <c r="BFC29" s="240"/>
      <c r="BFD29" s="239"/>
      <c r="BFE29" s="240"/>
      <c r="BFF29" s="239"/>
      <c r="BFG29" s="240"/>
      <c r="BFH29" s="239"/>
      <c r="BFI29" s="240"/>
      <c r="BFJ29" s="239"/>
      <c r="BFK29" s="240"/>
      <c r="BFL29" s="239"/>
      <c r="BFM29" s="240"/>
      <c r="BFN29" s="239"/>
      <c r="BFO29" s="240"/>
      <c r="BFP29" s="239"/>
      <c r="BFQ29" s="240"/>
      <c r="BFR29" s="239"/>
      <c r="BFS29" s="240"/>
      <c r="BFT29" s="239"/>
      <c r="BFU29" s="240"/>
      <c r="BFV29" s="239"/>
      <c r="BFW29" s="240"/>
      <c r="BFX29" s="239"/>
      <c r="BFY29" s="240"/>
      <c r="BFZ29" s="239"/>
      <c r="BGA29" s="240"/>
      <c r="BGB29" s="239"/>
      <c r="BGC29" s="240"/>
      <c r="BGD29" s="239"/>
      <c r="BGE29" s="240"/>
      <c r="BGF29" s="239"/>
      <c r="BGG29" s="240"/>
      <c r="BGH29" s="239"/>
      <c r="BGI29" s="240"/>
      <c r="BGJ29" s="239"/>
      <c r="BGK29" s="240"/>
      <c r="BGL29" s="239"/>
      <c r="BGM29" s="240"/>
      <c r="BGN29" s="239"/>
      <c r="BGO29" s="240"/>
      <c r="BGP29" s="239"/>
      <c r="BGQ29" s="240"/>
      <c r="BGR29" s="239"/>
      <c r="BGS29" s="240"/>
      <c r="BGT29" s="239"/>
      <c r="BGU29" s="240"/>
      <c r="BGV29" s="239"/>
      <c r="BGW29" s="240"/>
      <c r="BGX29" s="239"/>
      <c r="BGY29" s="240"/>
      <c r="BGZ29" s="239"/>
      <c r="BHA29" s="240"/>
      <c r="BHB29" s="239"/>
      <c r="BHC29" s="240"/>
      <c r="BHD29" s="239"/>
      <c r="BHE29" s="240"/>
      <c r="BHF29" s="239"/>
      <c r="BHG29" s="240"/>
      <c r="BHH29" s="239"/>
      <c r="BHI29" s="240"/>
      <c r="BHJ29" s="239"/>
      <c r="BHK29" s="240"/>
      <c r="BHL29" s="239"/>
      <c r="BHM29" s="240"/>
      <c r="BHN29" s="239"/>
      <c r="BHO29" s="240"/>
      <c r="BHP29" s="239"/>
      <c r="BHQ29" s="240"/>
      <c r="BHR29" s="239"/>
      <c r="BHS29" s="240"/>
      <c r="BHT29" s="239"/>
      <c r="BHU29" s="240"/>
      <c r="BHV29" s="239"/>
      <c r="BHW29" s="240"/>
      <c r="BHX29" s="239"/>
      <c r="BHY29" s="240"/>
      <c r="BHZ29" s="239"/>
      <c r="BIA29" s="240"/>
      <c r="BIB29" s="239"/>
      <c r="BIC29" s="240"/>
      <c r="BID29" s="239"/>
      <c r="BIE29" s="240"/>
      <c r="BIF29" s="239"/>
      <c r="BIG29" s="240"/>
      <c r="BIH29" s="239"/>
      <c r="BII29" s="240"/>
      <c r="BIJ29" s="239"/>
      <c r="BIK29" s="240"/>
      <c r="BIL29" s="239"/>
      <c r="BIM29" s="240"/>
      <c r="BIN29" s="239"/>
      <c r="BIO29" s="240"/>
      <c r="BIP29" s="239"/>
      <c r="BIQ29" s="240"/>
      <c r="BIR29" s="239"/>
      <c r="BIS29" s="240"/>
      <c r="BIT29" s="239"/>
      <c r="BIU29" s="240"/>
      <c r="BIV29" s="239"/>
      <c r="BIW29" s="240"/>
      <c r="BIX29" s="239"/>
      <c r="BIY29" s="240"/>
      <c r="BIZ29" s="239"/>
      <c r="BJA29" s="240"/>
      <c r="BJB29" s="239"/>
      <c r="BJC29" s="240"/>
      <c r="BJD29" s="239"/>
      <c r="BJE29" s="240"/>
      <c r="BJF29" s="239"/>
      <c r="BJG29" s="240"/>
      <c r="BJH29" s="239"/>
      <c r="BJI29" s="240"/>
      <c r="BJJ29" s="239"/>
      <c r="BJK29" s="240"/>
      <c r="BJL29" s="239"/>
      <c r="BJM29" s="240"/>
      <c r="BJN29" s="239"/>
      <c r="BJO29" s="240"/>
      <c r="BJP29" s="239"/>
      <c r="BJQ29" s="240"/>
      <c r="BJR29" s="239"/>
      <c r="BJS29" s="240"/>
      <c r="BJT29" s="239"/>
      <c r="BJU29" s="240"/>
      <c r="BJV29" s="239"/>
      <c r="BJW29" s="240"/>
      <c r="BJX29" s="239"/>
      <c r="BJY29" s="240"/>
      <c r="BJZ29" s="239"/>
      <c r="BKA29" s="240"/>
      <c r="BKB29" s="239"/>
      <c r="BKC29" s="240"/>
      <c r="BKD29" s="239"/>
      <c r="BKE29" s="240"/>
      <c r="BKF29" s="239"/>
      <c r="BKG29" s="240"/>
      <c r="BKH29" s="239"/>
      <c r="BKI29" s="240"/>
      <c r="BKJ29" s="239"/>
      <c r="BKK29" s="240"/>
      <c r="BKL29" s="239"/>
      <c r="BKM29" s="240"/>
      <c r="BKN29" s="239"/>
      <c r="BKO29" s="240"/>
      <c r="BKP29" s="239"/>
      <c r="BKQ29" s="240"/>
      <c r="BKR29" s="239"/>
      <c r="BKS29" s="240"/>
      <c r="BKT29" s="239"/>
      <c r="BKU29" s="240"/>
      <c r="BKV29" s="239"/>
      <c r="BKW29" s="240"/>
      <c r="BKX29" s="239"/>
      <c r="BKY29" s="240"/>
      <c r="BKZ29" s="239"/>
      <c r="BLA29" s="240"/>
      <c r="BLB29" s="239"/>
      <c r="BLC29" s="240"/>
      <c r="BLD29" s="239"/>
      <c r="BLE29" s="240"/>
      <c r="BLF29" s="239"/>
      <c r="BLG29" s="240"/>
      <c r="BLH29" s="239"/>
      <c r="BLI29" s="240"/>
      <c r="BLJ29" s="239"/>
      <c r="BLK29" s="240"/>
      <c r="BLL29" s="239"/>
      <c r="BLM29" s="240"/>
      <c r="BLN29" s="239"/>
      <c r="BLO29" s="240"/>
      <c r="BLP29" s="239"/>
      <c r="BLQ29" s="240"/>
      <c r="BLR29" s="239"/>
      <c r="BLS29" s="240"/>
      <c r="BLT29" s="239"/>
      <c r="BLU29" s="240"/>
      <c r="BLV29" s="239"/>
      <c r="BLW29" s="240"/>
      <c r="BLX29" s="239"/>
      <c r="BLY29" s="240"/>
      <c r="BLZ29" s="239"/>
      <c r="BMA29" s="240"/>
      <c r="BMB29" s="239"/>
      <c r="BMC29" s="240"/>
      <c r="BMD29" s="239"/>
      <c r="BME29" s="240"/>
      <c r="BMF29" s="239"/>
      <c r="BMG29" s="240"/>
      <c r="BMH29" s="239"/>
      <c r="BMI29" s="240"/>
      <c r="BMJ29" s="239"/>
      <c r="BMK29" s="240"/>
      <c r="BML29" s="239"/>
      <c r="BMM29" s="240"/>
      <c r="BMN29" s="239"/>
      <c r="BMO29" s="240"/>
      <c r="BMP29" s="239"/>
      <c r="BMQ29" s="240"/>
      <c r="BMR29" s="239"/>
      <c r="BMS29" s="240"/>
      <c r="BMT29" s="239"/>
      <c r="BMU29" s="240"/>
      <c r="BMV29" s="239"/>
      <c r="BMW29" s="240"/>
      <c r="BMX29" s="239"/>
      <c r="BMY29" s="240"/>
      <c r="BMZ29" s="239"/>
      <c r="BNA29" s="240"/>
      <c r="BNB29" s="239"/>
      <c r="BNC29" s="240"/>
      <c r="BND29" s="239"/>
      <c r="BNE29" s="240"/>
      <c r="BNF29" s="239"/>
      <c r="BNG29" s="240"/>
      <c r="BNH29" s="239"/>
      <c r="BNI29" s="240"/>
      <c r="BNJ29" s="239"/>
      <c r="BNK29" s="240"/>
      <c r="BNL29" s="239"/>
      <c r="BNM29" s="240"/>
      <c r="BNN29" s="239"/>
      <c r="BNO29" s="240"/>
      <c r="BNP29" s="239"/>
      <c r="BNQ29" s="240"/>
      <c r="BNR29" s="239"/>
      <c r="BNS29" s="240"/>
      <c r="BNT29" s="239"/>
      <c r="BNU29" s="240"/>
      <c r="BNV29" s="239"/>
      <c r="BNW29" s="240"/>
      <c r="BNX29" s="239"/>
      <c r="BNY29" s="240"/>
      <c r="BNZ29" s="239"/>
      <c r="BOA29" s="240"/>
      <c r="BOB29" s="239"/>
      <c r="BOC29" s="240"/>
      <c r="BOD29" s="239"/>
      <c r="BOE29" s="240"/>
      <c r="BOF29" s="239"/>
      <c r="BOG29" s="240"/>
      <c r="BOH29" s="239"/>
      <c r="BOI29" s="240"/>
      <c r="BOJ29" s="239"/>
      <c r="BOK29" s="240"/>
      <c r="BOL29" s="239"/>
      <c r="BOM29" s="240"/>
      <c r="BON29" s="239"/>
      <c r="BOO29" s="240"/>
      <c r="BOP29" s="239"/>
      <c r="BOQ29" s="240"/>
      <c r="BOR29" s="239"/>
      <c r="BOS29" s="240"/>
      <c r="BOT29" s="239"/>
      <c r="BOU29" s="240"/>
      <c r="BOV29" s="239"/>
      <c r="BOW29" s="240"/>
      <c r="BOX29" s="239"/>
      <c r="BOY29" s="240"/>
      <c r="BOZ29" s="239"/>
      <c r="BPA29" s="240"/>
      <c r="BPB29" s="239"/>
      <c r="BPC29" s="240"/>
      <c r="BPD29" s="239"/>
      <c r="BPE29" s="240"/>
      <c r="BPF29" s="239"/>
      <c r="BPG29" s="240"/>
      <c r="BPH29" s="239"/>
      <c r="BPI29" s="240"/>
      <c r="BPJ29" s="239"/>
      <c r="BPK29" s="240"/>
      <c r="BPL29" s="239"/>
      <c r="BPM29" s="240"/>
      <c r="BPN29" s="239"/>
      <c r="BPO29" s="240"/>
      <c r="BPP29" s="239"/>
      <c r="BPQ29" s="240"/>
      <c r="BPR29" s="239"/>
      <c r="BPS29" s="240"/>
      <c r="BPT29" s="239"/>
      <c r="BPU29" s="240"/>
      <c r="BPV29" s="239"/>
      <c r="BPW29" s="240"/>
      <c r="BPX29" s="239"/>
      <c r="BPY29" s="240"/>
      <c r="BPZ29" s="239"/>
      <c r="BQA29" s="240"/>
      <c r="BQB29" s="239"/>
      <c r="BQC29" s="240"/>
      <c r="BQD29" s="239"/>
      <c r="BQE29" s="240"/>
      <c r="BQF29" s="239"/>
      <c r="BQG29" s="240"/>
      <c r="BQH29" s="239"/>
      <c r="BQI29" s="240"/>
      <c r="BQJ29" s="239"/>
      <c r="BQK29" s="240"/>
      <c r="BQL29" s="239"/>
      <c r="BQM29" s="240"/>
      <c r="BQN29" s="239"/>
      <c r="BQO29" s="240"/>
      <c r="BQP29" s="239"/>
      <c r="BQQ29" s="240"/>
      <c r="BQR29" s="239"/>
      <c r="BQS29" s="240"/>
      <c r="BQT29" s="239"/>
      <c r="BQU29" s="240"/>
      <c r="BQV29" s="239"/>
      <c r="BQW29" s="240"/>
      <c r="BQX29" s="239"/>
      <c r="BQY29" s="240"/>
      <c r="BQZ29" s="239"/>
      <c r="BRA29" s="240"/>
      <c r="BRB29" s="239"/>
      <c r="BRC29" s="240"/>
      <c r="BRD29" s="239"/>
      <c r="BRE29" s="240"/>
      <c r="BRF29" s="239"/>
      <c r="BRG29" s="240"/>
      <c r="BRH29" s="239"/>
      <c r="BRI29" s="240"/>
      <c r="BRJ29" s="239"/>
      <c r="BRK29" s="240"/>
      <c r="BRL29" s="239"/>
      <c r="BRM29" s="240"/>
      <c r="BRN29" s="239"/>
      <c r="BRO29" s="240"/>
      <c r="BRP29" s="239"/>
      <c r="BRQ29" s="240"/>
      <c r="BRR29" s="239"/>
      <c r="BRS29" s="240"/>
      <c r="BRT29" s="239"/>
      <c r="BRU29" s="240"/>
      <c r="BRV29" s="239"/>
      <c r="BRW29" s="240"/>
      <c r="BRX29" s="239"/>
      <c r="BRY29" s="240"/>
      <c r="BRZ29" s="239"/>
      <c r="BSA29" s="240"/>
      <c r="BSB29" s="239"/>
      <c r="BSC29" s="240"/>
      <c r="BSD29" s="239"/>
      <c r="BSE29" s="240"/>
      <c r="BSF29" s="239"/>
      <c r="BSG29" s="240"/>
      <c r="BSH29" s="239"/>
      <c r="BSI29" s="240"/>
      <c r="BSJ29" s="239"/>
      <c r="BSK29" s="240"/>
      <c r="BSL29" s="239"/>
      <c r="BSM29" s="240"/>
      <c r="BSN29" s="239"/>
      <c r="BSO29" s="240"/>
      <c r="BSP29" s="239"/>
      <c r="BSQ29" s="240"/>
      <c r="BSR29" s="239"/>
      <c r="BSS29" s="240"/>
      <c r="BST29" s="239"/>
      <c r="BSU29" s="240"/>
      <c r="BSV29" s="239"/>
      <c r="BSW29" s="240"/>
      <c r="BSX29" s="239"/>
      <c r="BSY29" s="240"/>
      <c r="BSZ29" s="239"/>
      <c r="BTA29" s="240"/>
      <c r="BTB29" s="239"/>
      <c r="BTC29" s="240"/>
      <c r="BTD29" s="239"/>
      <c r="BTE29" s="240"/>
      <c r="BTF29" s="239"/>
      <c r="BTG29" s="240"/>
      <c r="BTH29" s="239"/>
      <c r="BTI29" s="240"/>
      <c r="BTJ29" s="239"/>
      <c r="BTK29" s="240"/>
      <c r="BTL29" s="239"/>
      <c r="BTM29" s="240"/>
      <c r="BTN29" s="239"/>
      <c r="BTO29" s="240"/>
      <c r="BTP29" s="239"/>
      <c r="BTQ29" s="240"/>
      <c r="BTR29" s="239"/>
      <c r="BTS29" s="240"/>
      <c r="BTT29" s="239"/>
      <c r="BTU29" s="240"/>
      <c r="BTV29" s="239"/>
      <c r="BTW29" s="240"/>
      <c r="BTX29" s="239"/>
      <c r="BTY29" s="240"/>
      <c r="BTZ29" s="239"/>
      <c r="BUA29" s="240"/>
      <c r="BUB29" s="239"/>
      <c r="BUC29" s="240"/>
      <c r="BUD29" s="239"/>
      <c r="BUE29" s="240"/>
      <c r="BUF29" s="239"/>
      <c r="BUG29" s="240"/>
      <c r="BUH29" s="239"/>
      <c r="BUI29" s="240"/>
      <c r="BUJ29" s="239"/>
      <c r="BUK29" s="240"/>
      <c r="BUL29" s="239"/>
      <c r="BUM29" s="240"/>
      <c r="BUN29" s="239"/>
      <c r="BUO29" s="240"/>
      <c r="BUP29" s="239"/>
      <c r="BUQ29" s="240"/>
      <c r="BUR29" s="239"/>
      <c r="BUS29" s="240"/>
      <c r="BUT29" s="239"/>
      <c r="BUU29" s="240"/>
      <c r="BUV29" s="239"/>
      <c r="BUW29" s="240"/>
      <c r="BUX29" s="239"/>
      <c r="BUY29" s="240"/>
      <c r="BUZ29" s="239"/>
      <c r="BVA29" s="240"/>
      <c r="BVB29" s="239"/>
      <c r="BVC29" s="240"/>
      <c r="BVD29" s="239"/>
      <c r="BVE29" s="240"/>
      <c r="BVF29" s="239"/>
      <c r="BVG29" s="240"/>
      <c r="BVH29" s="239"/>
      <c r="BVI29" s="240"/>
      <c r="BVJ29" s="239"/>
      <c r="BVK29" s="240"/>
      <c r="BVL29" s="239"/>
      <c r="BVM29" s="240"/>
      <c r="BVN29" s="239"/>
      <c r="BVO29" s="240"/>
      <c r="BVP29" s="239"/>
      <c r="BVQ29" s="240"/>
      <c r="BVR29" s="239"/>
      <c r="BVS29" s="240"/>
      <c r="BVT29" s="239"/>
      <c r="BVU29" s="240"/>
      <c r="BVV29" s="239"/>
      <c r="BVW29" s="240"/>
      <c r="BVX29" s="239"/>
      <c r="BVY29" s="240"/>
      <c r="BVZ29" s="239"/>
      <c r="BWA29" s="240"/>
      <c r="BWB29" s="239"/>
      <c r="BWC29" s="240"/>
      <c r="BWD29" s="239"/>
      <c r="BWE29" s="240"/>
      <c r="BWF29" s="239"/>
      <c r="BWG29" s="240"/>
      <c r="BWH29" s="239"/>
      <c r="BWI29" s="240"/>
      <c r="BWJ29" s="239"/>
      <c r="BWK29" s="240"/>
      <c r="BWL29" s="239"/>
      <c r="BWM29" s="240"/>
      <c r="BWN29" s="239"/>
      <c r="BWO29" s="240"/>
      <c r="BWP29" s="239"/>
      <c r="BWQ29" s="240"/>
      <c r="BWR29" s="239"/>
      <c r="BWS29" s="240"/>
      <c r="BWT29" s="239"/>
      <c r="BWU29" s="240"/>
      <c r="BWV29" s="239"/>
      <c r="BWW29" s="240"/>
      <c r="BWX29" s="239"/>
      <c r="BWY29" s="240"/>
      <c r="BWZ29" s="239"/>
      <c r="BXA29" s="240"/>
      <c r="BXB29" s="239"/>
      <c r="BXC29" s="240"/>
      <c r="BXD29" s="239"/>
      <c r="BXE29" s="240"/>
      <c r="BXF29" s="239"/>
      <c r="BXG29" s="240"/>
      <c r="BXH29" s="239"/>
      <c r="BXI29" s="240"/>
      <c r="BXJ29" s="239"/>
      <c r="BXK29" s="240"/>
      <c r="BXL29" s="239"/>
      <c r="BXM29" s="240"/>
      <c r="BXN29" s="239"/>
      <c r="BXO29" s="240"/>
      <c r="BXP29" s="239"/>
      <c r="BXQ29" s="240"/>
      <c r="BXR29" s="239"/>
      <c r="BXS29" s="240"/>
      <c r="BXT29" s="239"/>
      <c r="BXU29" s="240"/>
      <c r="BXV29" s="239"/>
      <c r="BXW29" s="240"/>
      <c r="BXX29" s="239"/>
      <c r="BXY29" s="240"/>
      <c r="BXZ29" s="239"/>
      <c r="BYA29" s="240"/>
      <c r="BYB29" s="239"/>
      <c r="BYC29" s="240"/>
      <c r="BYD29" s="239"/>
      <c r="BYE29" s="240"/>
      <c r="BYF29" s="239"/>
      <c r="BYG29" s="240"/>
      <c r="BYH29" s="239"/>
      <c r="BYI29" s="240"/>
      <c r="BYJ29" s="239"/>
      <c r="BYK29" s="240"/>
      <c r="BYL29" s="239"/>
      <c r="BYM29" s="240"/>
      <c r="BYN29" s="239"/>
      <c r="BYO29" s="240"/>
      <c r="BYP29" s="239"/>
      <c r="BYQ29" s="240"/>
      <c r="BYR29" s="239"/>
      <c r="BYS29" s="240"/>
      <c r="BYT29" s="239"/>
      <c r="BYU29" s="240"/>
      <c r="BYV29" s="239"/>
      <c r="BYW29" s="240"/>
      <c r="BYX29" s="239"/>
      <c r="BYY29" s="240"/>
      <c r="BYZ29" s="239"/>
      <c r="BZA29" s="240"/>
      <c r="BZB29" s="239"/>
      <c r="BZC29" s="240"/>
      <c r="BZD29" s="239"/>
      <c r="BZE29" s="240"/>
      <c r="BZF29" s="239"/>
      <c r="BZG29" s="240"/>
      <c r="BZH29" s="239"/>
      <c r="BZI29" s="240"/>
      <c r="BZJ29" s="239"/>
      <c r="BZK29" s="240"/>
      <c r="BZL29" s="239"/>
      <c r="BZM29" s="240"/>
      <c r="BZN29" s="239"/>
      <c r="BZO29" s="240"/>
      <c r="BZP29" s="239"/>
      <c r="BZQ29" s="240"/>
      <c r="BZR29" s="239"/>
      <c r="BZS29" s="240"/>
      <c r="BZT29" s="239"/>
      <c r="BZU29" s="240"/>
      <c r="BZV29" s="239"/>
      <c r="BZW29" s="240"/>
      <c r="BZX29" s="239"/>
      <c r="BZY29" s="240"/>
      <c r="BZZ29" s="239"/>
      <c r="CAA29" s="240"/>
      <c r="CAB29" s="239"/>
      <c r="CAC29" s="240"/>
      <c r="CAD29" s="239"/>
      <c r="CAE29" s="240"/>
      <c r="CAF29" s="239"/>
      <c r="CAG29" s="240"/>
      <c r="CAH29" s="239"/>
      <c r="CAI29" s="240"/>
      <c r="CAJ29" s="239"/>
      <c r="CAK29" s="240"/>
      <c r="CAL29" s="239"/>
      <c r="CAM29" s="240"/>
      <c r="CAN29" s="239"/>
      <c r="CAO29" s="240"/>
      <c r="CAP29" s="239"/>
      <c r="CAQ29" s="240"/>
      <c r="CAR29" s="239"/>
      <c r="CAS29" s="240"/>
      <c r="CAT29" s="239"/>
      <c r="CAU29" s="240"/>
      <c r="CAV29" s="239"/>
      <c r="CAW29" s="240"/>
      <c r="CAX29" s="239"/>
      <c r="CAY29" s="240"/>
      <c r="CAZ29" s="239"/>
      <c r="CBA29" s="240"/>
      <c r="CBB29" s="239"/>
      <c r="CBC29" s="240"/>
      <c r="CBD29" s="239"/>
      <c r="CBE29" s="240"/>
      <c r="CBF29" s="239"/>
      <c r="CBG29" s="240"/>
      <c r="CBH29" s="239"/>
      <c r="CBI29" s="240"/>
      <c r="CBJ29" s="239"/>
      <c r="CBK29" s="240"/>
      <c r="CBL29" s="239"/>
      <c r="CBM29" s="240"/>
      <c r="CBN29" s="239"/>
      <c r="CBO29" s="240"/>
      <c r="CBP29" s="239"/>
      <c r="CBQ29" s="240"/>
      <c r="CBR29" s="239"/>
      <c r="CBS29" s="240"/>
      <c r="CBT29" s="239"/>
      <c r="CBU29" s="240"/>
      <c r="CBV29" s="239"/>
      <c r="CBW29" s="240"/>
      <c r="CBX29" s="239"/>
      <c r="CBY29" s="240"/>
      <c r="CBZ29" s="239"/>
      <c r="CCA29" s="240"/>
      <c r="CCB29" s="239"/>
      <c r="CCC29" s="240"/>
      <c r="CCD29" s="239"/>
      <c r="CCE29" s="240"/>
      <c r="CCF29" s="239"/>
      <c r="CCG29" s="240"/>
      <c r="CCH29" s="239"/>
      <c r="CCI29" s="240"/>
      <c r="CCJ29" s="239"/>
      <c r="CCK29" s="240"/>
      <c r="CCL29" s="239"/>
      <c r="CCM29" s="240"/>
      <c r="CCN29" s="239"/>
      <c r="CCO29" s="240"/>
      <c r="CCP29" s="239"/>
      <c r="CCQ29" s="240"/>
      <c r="CCR29" s="239"/>
      <c r="CCS29" s="240"/>
      <c r="CCT29" s="239"/>
      <c r="CCU29" s="240"/>
      <c r="CCV29" s="239"/>
      <c r="CCW29" s="240"/>
      <c r="CCX29" s="239"/>
      <c r="CCY29" s="240"/>
      <c r="CCZ29" s="239"/>
      <c r="CDA29" s="240"/>
      <c r="CDB29" s="239"/>
      <c r="CDC29" s="240"/>
      <c r="CDD29" s="239"/>
      <c r="CDE29" s="240"/>
      <c r="CDF29" s="239"/>
      <c r="CDG29" s="240"/>
      <c r="CDH29" s="239"/>
      <c r="CDI29" s="240"/>
      <c r="CDJ29" s="239"/>
      <c r="CDK29" s="240"/>
      <c r="CDL29" s="239"/>
      <c r="CDM29" s="240"/>
      <c r="CDN29" s="239"/>
      <c r="CDO29" s="240"/>
      <c r="CDP29" s="239"/>
      <c r="CDQ29" s="240"/>
      <c r="CDR29" s="239"/>
      <c r="CDS29" s="240"/>
      <c r="CDT29" s="239"/>
      <c r="CDU29" s="240"/>
      <c r="CDV29" s="239"/>
      <c r="CDW29" s="240"/>
      <c r="CDX29" s="239"/>
      <c r="CDY29" s="240"/>
      <c r="CDZ29" s="239"/>
      <c r="CEA29" s="240"/>
      <c r="CEB29" s="239"/>
      <c r="CEC29" s="240"/>
      <c r="CED29" s="239"/>
      <c r="CEE29" s="240"/>
      <c r="CEF29" s="239"/>
      <c r="CEG29" s="240"/>
      <c r="CEH29" s="239"/>
      <c r="CEI29" s="240"/>
      <c r="CEJ29" s="239"/>
      <c r="CEK29" s="240"/>
      <c r="CEL29" s="239"/>
      <c r="CEM29" s="240"/>
      <c r="CEN29" s="239"/>
      <c r="CEO29" s="240"/>
      <c r="CEP29" s="239"/>
      <c r="CEQ29" s="240"/>
      <c r="CER29" s="239"/>
      <c r="CES29" s="240"/>
      <c r="CET29" s="239"/>
      <c r="CEU29" s="240"/>
      <c r="CEV29" s="239"/>
      <c r="CEW29" s="240"/>
      <c r="CEX29" s="239"/>
      <c r="CEY29" s="240"/>
      <c r="CEZ29" s="239"/>
      <c r="CFA29" s="240"/>
      <c r="CFB29" s="239"/>
      <c r="CFC29" s="240"/>
      <c r="CFD29" s="239"/>
      <c r="CFE29" s="240"/>
      <c r="CFF29" s="239"/>
      <c r="CFG29" s="240"/>
      <c r="CFH29" s="239"/>
      <c r="CFI29" s="240"/>
      <c r="CFJ29" s="239"/>
      <c r="CFK29" s="240"/>
      <c r="CFL29" s="239"/>
      <c r="CFM29" s="240"/>
      <c r="CFN29" s="239"/>
      <c r="CFO29" s="240"/>
      <c r="CFP29" s="239"/>
      <c r="CFQ29" s="240"/>
      <c r="CFR29" s="239"/>
      <c r="CFS29" s="240"/>
      <c r="CFT29" s="239"/>
      <c r="CFU29" s="240"/>
      <c r="CFV29" s="239"/>
      <c r="CFW29" s="240"/>
      <c r="CFX29" s="239"/>
      <c r="CFY29" s="240"/>
      <c r="CFZ29" s="239"/>
      <c r="CGA29" s="240"/>
      <c r="CGB29" s="239"/>
      <c r="CGC29" s="240"/>
      <c r="CGD29" s="239"/>
      <c r="CGE29" s="240"/>
      <c r="CGF29" s="239"/>
      <c r="CGG29" s="240"/>
      <c r="CGH29" s="239"/>
      <c r="CGI29" s="240"/>
      <c r="CGJ29" s="239"/>
      <c r="CGK29" s="240"/>
      <c r="CGL29" s="239"/>
      <c r="CGM29" s="240"/>
      <c r="CGN29" s="239"/>
      <c r="CGO29" s="240"/>
      <c r="CGP29" s="239"/>
      <c r="CGQ29" s="240"/>
      <c r="CGR29" s="239"/>
      <c r="CGS29" s="240"/>
      <c r="CGT29" s="239"/>
      <c r="CGU29" s="240"/>
      <c r="CGV29" s="239"/>
      <c r="CGW29" s="240"/>
      <c r="CGX29" s="239"/>
      <c r="CGY29" s="240"/>
      <c r="CGZ29" s="239"/>
      <c r="CHA29" s="240"/>
      <c r="CHB29" s="239"/>
      <c r="CHC29" s="240"/>
      <c r="CHD29" s="239"/>
      <c r="CHE29" s="240"/>
      <c r="CHF29" s="239"/>
      <c r="CHG29" s="240"/>
      <c r="CHH29" s="239"/>
      <c r="CHI29" s="240"/>
      <c r="CHJ29" s="239"/>
      <c r="CHK29" s="240"/>
      <c r="CHL29" s="239"/>
      <c r="CHM29" s="240"/>
      <c r="CHN29" s="239"/>
      <c r="CHO29" s="240"/>
      <c r="CHP29" s="239"/>
      <c r="CHQ29" s="240"/>
      <c r="CHR29" s="239"/>
      <c r="CHS29" s="240"/>
      <c r="CHT29" s="239"/>
      <c r="CHU29" s="240"/>
      <c r="CHV29" s="239"/>
      <c r="CHW29" s="240"/>
      <c r="CHX29" s="239"/>
      <c r="CHY29" s="240"/>
      <c r="CHZ29" s="239"/>
      <c r="CIA29" s="240"/>
      <c r="CIB29" s="239"/>
      <c r="CIC29" s="240"/>
      <c r="CID29" s="239"/>
      <c r="CIE29" s="240"/>
      <c r="CIF29" s="239"/>
      <c r="CIG29" s="240"/>
      <c r="CIH29" s="239"/>
      <c r="CII29" s="240"/>
      <c r="CIJ29" s="239"/>
      <c r="CIK29" s="240"/>
      <c r="CIL29" s="239"/>
      <c r="CIM29" s="240"/>
      <c r="CIN29" s="239"/>
      <c r="CIO29" s="240"/>
      <c r="CIP29" s="239"/>
      <c r="CIQ29" s="240"/>
      <c r="CIR29" s="239"/>
      <c r="CIS29" s="240"/>
      <c r="CIT29" s="239"/>
      <c r="CIU29" s="240"/>
      <c r="CIV29" s="239"/>
      <c r="CIW29" s="240"/>
      <c r="CIX29" s="239"/>
      <c r="CIY29" s="240"/>
      <c r="CIZ29" s="239"/>
      <c r="CJA29" s="240"/>
      <c r="CJB29" s="239"/>
      <c r="CJC29" s="240"/>
      <c r="CJD29" s="239"/>
      <c r="CJE29" s="240"/>
      <c r="CJF29" s="239"/>
      <c r="CJG29" s="240"/>
      <c r="CJH29" s="239"/>
      <c r="CJI29" s="240"/>
      <c r="CJJ29" s="239"/>
      <c r="CJK29" s="240"/>
      <c r="CJL29" s="239"/>
      <c r="CJM29" s="240"/>
      <c r="CJN29" s="239"/>
      <c r="CJO29" s="240"/>
      <c r="CJP29" s="239"/>
      <c r="CJQ29" s="240"/>
      <c r="CJR29" s="239"/>
      <c r="CJS29" s="240"/>
      <c r="CJT29" s="239"/>
      <c r="CJU29" s="240"/>
      <c r="CJV29" s="239"/>
      <c r="CJW29" s="240"/>
      <c r="CJX29" s="239"/>
      <c r="CJY29" s="240"/>
      <c r="CJZ29" s="239"/>
      <c r="CKA29" s="240"/>
      <c r="CKB29" s="239"/>
      <c r="CKC29" s="240"/>
      <c r="CKD29" s="239"/>
      <c r="CKE29" s="240"/>
      <c r="CKF29" s="239"/>
      <c r="CKG29" s="240"/>
      <c r="CKH29" s="239"/>
      <c r="CKI29" s="240"/>
      <c r="CKJ29" s="239"/>
      <c r="CKK29" s="240"/>
      <c r="CKL29" s="239"/>
      <c r="CKM29" s="240"/>
      <c r="CKN29" s="239"/>
      <c r="CKO29" s="240"/>
      <c r="CKP29" s="239"/>
      <c r="CKQ29" s="240"/>
      <c r="CKR29" s="239"/>
      <c r="CKS29" s="240"/>
      <c r="CKT29" s="239"/>
      <c r="CKU29" s="240"/>
      <c r="CKV29" s="239"/>
      <c r="CKW29" s="240"/>
      <c r="CKX29" s="239"/>
      <c r="CKY29" s="240"/>
      <c r="CKZ29" s="239"/>
      <c r="CLA29" s="240"/>
      <c r="CLB29" s="239"/>
      <c r="CLC29" s="240"/>
      <c r="CLD29" s="239"/>
      <c r="CLE29" s="240"/>
      <c r="CLF29" s="239"/>
      <c r="CLG29" s="240"/>
      <c r="CLH29" s="239"/>
      <c r="CLI29" s="240"/>
      <c r="CLJ29" s="239"/>
      <c r="CLK29" s="240"/>
      <c r="CLL29" s="239"/>
      <c r="CLM29" s="240"/>
      <c r="CLN29" s="239"/>
      <c r="CLO29" s="240"/>
      <c r="CLP29" s="239"/>
      <c r="CLQ29" s="240"/>
      <c r="CLR29" s="239"/>
      <c r="CLS29" s="240"/>
      <c r="CLT29" s="239"/>
      <c r="CLU29" s="240"/>
      <c r="CLV29" s="239"/>
      <c r="CLW29" s="240"/>
      <c r="CLX29" s="239"/>
      <c r="CLY29" s="240"/>
      <c r="CLZ29" s="239"/>
      <c r="CMA29" s="240"/>
      <c r="CMB29" s="239"/>
      <c r="CMC29" s="240"/>
      <c r="CMD29" s="239"/>
      <c r="CME29" s="240"/>
      <c r="CMF29" s="239"/>
      <c r="CMG29" s="240"/>
      <c r="CMH29" s="239"/>
      <c r="CMI29" s="240"/>
      <c r="CMJ29" s="239"/>
      <c r="CMK29" s="240"/>
      <c r="CML29" s="239"/>
      <c r="CMM29" s="240"/>
      <c r="CMN29" s="239"/>
      <c r="CMO29" s="240"/>
      <c r="CMP29" s="239"/>
      <c r="CMQ29" s="240"/>
      <c r="CMR29" s="239"/>
      <c r="CMS29" s="240"/>
      <c r="CMT29" s="239"/>
      <c r="CMU29" s="240"/>
      <c r="CMV29" s="239"/>
      <c r="CMW29" s="240"/>
      <c r="CMX29" s="239"/>
      <c r="CMY29" s="240"/>
      <c r="CMZ29" s="239"/>
      <c r="CNA29" s="240"/>
      <c r="CNB29" s="239"/>
      <c r="CNC29" s="240"/>
      <c r="CND29" s="239"/>
      <c r="CNE29" s="240"/>
      <c r="CNF29" s="239"/>
      <c r="CNG29" s="240"/>
      <c r="CNH29" s="239"/>
      <c r="CNI29" s="240"/>
      <c r="CNJ29" s="239"/>
      <c r="CNK29" s="240"/>
      <c r="CNL29" s="239"/>
      <c r="CNM29" s="240"/>
      <c r="CNN29" s="239"/>
      <c r="CNO29" s="240"/>
      <c r="CNP29" s="239"/>
      <c r="CNQ29" s="240"/>
      <c r="CNR29" s="239"/>
      <c r="CNS29" s="240"/>
      <c r="CNT29" s="239"/>
      <c r="CNU29" s="240"/>
      <c r="CNV29" s="239"/>
      <c r="CNW29" s="240"/>
      <c r="CNX29" s="239"/>
      <c r="CNY29" s="240"/>
      <c r="CNZ29" s="239"/>
      <c r="COA29" s="240"/>
      <c r="COB29" s="239"/>
      <c r="COC29" s="240"/>
      <c r="COD29" s="239"/>
      <c r="COE29" s="240"/>
      <c r="COF29" s="239"/>
      <c r="COG29" s="240"/>
      <c r="COH29" s="239"/>
      <c r="COI29" s="240"/>
      <c r="COJ29" s="239"/>
      <c r="COK29" s="240"/>
      <c r="COL29" s="239"/>
      <c r="COM29" s="240"/>
      <c r="CON29" s="239"/>
      <c r="COO29" s="240"/>
      <c r="COP29" s="239"/>
      <c r="COQ29" s="240"/>
      <c r="COR29" s="239"/>
      <c r="COS29" s="240"/>
      <c r="COT29" s="239"/>
      <c r="COU29" s="240"/>
      <c r="COV29" s="239"/>
      <c r="COW29" s="240"/>
      <c r="COX29" s="239"/>
      <c r="COY29" s="240"/>
      <c r="COZ29" s="239"/>
      <c r="CPA29" s="240"/>
      <c r="CPB29" s="239"/>
      <c r="CPC29" s="240"/>
      <c r="CPD29" s="239"/>
      <c r="CPE29" s="240"/>
      <c r="CPF29" s="239"/>
      <c r="CPG29" s="240"/>
      <c r="CPH29" s="239"/>
      <c r="CPI29" s="240"/>
      <c r="CPJ29" s="239"/>
      <c r="CPK29" s="240"/>
      <c r="CPL29" s="239"/>
      <c r="CPM29" s="240"/>
      <c r="CPN29" s="239"/>
      <c r="CPO29" s="240"/>
      <c r="CPP29" s="239"/>
      <c r="CPQ29" s="240"/>
      <c r="CPR29" s="239"/>
      <c r="CPS29" s="240"/>
      <c r="CPT29" s="239"/>
      <c r="CPU29" s="240"/>
      <c r="CPV29" s="239"/>
      <c r="CPW29" s="240"/>
      <c r="CPX29" s="239"/>
      <c r="CPY29" s="240"/>
      <c r="CPZ29" s="239"/>
      <c r="CQA29" s="240"/>
      <c r="CQB29" s="239"/>
      <c r="CQC29" s="240"/>
      <c r="CQD29" s="239"/>
      <c r="CQE29" s="240"/>
      <c r="CQF29" s="239"/>
      <c r="CQG29" s="240"/>
      <c r="CQH29" s="239"/>
      <c r="CQI29" s="240"/>
      <c r="CQJ29" s="239"/>
      <c r="CQK29" s="240"/>
      <c r="CQL29" s="239"/>
      <c r="CQM29" s="240"/>
      <c r="CQN29" s="239"/>
      <c r="CQO29" s="240"/>
      <c r="CQP29" s="239"/>
      <c r="CQQ29" s="240"/>
      <c r="CQR29" s="239"/>
      <c r="CQS29" s="240"/>
      <c r="CQT29" s="239"/>
      <c r="CQU29" s="240"/>
      <c r="CQV29" s="239"/>
      <c r="CQW29" s="240"/>
      <c r="CQX29" s="239"/>
      <c r="CQY29" s="240"/>
      <c r="CQZ29" s="239"/>
      <c r="CRA29" s="240"/>
      <c r="CRB29" s="239"/>
      <c r="CRC29" s="240"/>
      <c r="CRD29" s="239"/>
      <c r="CRE29" s="240"/>
      <c r="CRF29" s="239"/>
      <c r="CRG29" s="240"/>
      <c r="CRH29" s="239"/>
      <c r="CRI29" s="240"/>
      <c r="CRJ29" s="239"/>
      <c r="CRK29" s="240"/>
      <c r="CRL29" s="239"/>
      <c r="CRM29" s="240"/>
      <c r="CRN29" s="239"/>
      <c r="CRO29" s="240"/>
      <c r="CRP29" s="239"/>
      <c r="CRQ29" s="240"/>
      <c r="CRR29" s="239"/>
      <c r="CRS29" s="240"/>
      <c r="CRT29" s="239"/>
      <c r="CRU29" s="240"/>
      <c r="CRV29" s="239"/>
      <c r="CRW29" s="240"/>
      <c r="CRX29" s="239"/>
      <c r="CRY29" s="240"/>
      <c r="CRZ29" s="239"/>
      <c r="CSA29" s="240"/>
      <c r="CSB29" s="239"/>
      <c r="CSC29" s="240"/>
      <c r="CSD29" s="239"/>
      <c r="CSE29" s="240"/>
      <c r="CSF29" s="239"/>
      <c r="CSG29" s="240"/>
      <c r="CSH29" s="239"/>
      <c r="CSI29" s="240"/>
      <c r="CSJ29" s="239"/>
      <c r="CSK29" s="240"/>
      <c r="CSL29" s="239"/>
      <c r="CSM29" s="240"/>
      <c r="CSN29" s="239"/>
      <c r="CSO29" s="240"/>
      <c r="CSP29" s="239"/>
      <c r="CSQ29" s="240"/>
      <c r="CSR29" s="239"/>
      <c r="CSS29" s="240"/>
      <c r="CST29" s="239"/>
      <c r="CSU29" s="240"/>
      <c r="CSV29" s="239"/>
      <c r="CSW29" s="240"/>
      <c r="CSX29" s="239"/>
      <c r="CSY29" s="240"/>
      <c r="CSZ29" s="239"/>
      <c r="CTA29" s="240"/>
      <c r="CTB29" s="239"/>
      <c r="CTC29" s="240"/>
      <c r="CTD29" s="239"/>
      <c r="CTE29" s="240"/>
      <c r="CTF29" s="239"/>
      <c r="CTG29" s="240"/>
      <c r="CTH29" s="239"/>
      <c r="CTI29" s="240"/>
      <c r="CTJ29" s="239"/>
      <c r="CTK29" s="240"/>
      <c r="CTL29" s="239"/>
      <c r="CTM29" s="240"/>
      <c r="CTN29" s="239"/>
      <c r="CTO29" s="240"/>
      <c r="CTP29" s="239"/>
      <c r="CTQ29" s="240"/>
      <c r="CTR29" s="239"/>
      <c r="CTS29" s="240"/>
      <c r="CTT29" s="239"/>
      <c r="CTU29" s="240"/>
      <c r="CTV29" s="239"/>
      <c r="CTW29" s="240"/>
      <c r="CTX29" s="239"/>
      <c r="CTY29" s="240"/>
      <c r="CTZ29" s="239"/>
      <c r="CUA29" s="240"/>
      <c r="CUB29" s="239"/>
      <c r="CUC29" s="240"/>
      <c r="CUD29" s="239"/>
      <c r="CUE29" s="240"/>
      <c r="CUF29" s="239"/>
      <c r="CUG29" s="240"/>
      <c r="CUH29" s="239"/>
      <c r="CUI29" s="240"/>
      <c r="CUJ29" s="239"/>
      <c r="CUK29" s="240"/>
      <c r="CUL29" s="239"/>
      <c r="CUM29" s="240"/>
      <c r="CUN29" s="239"/>
      <c r="CUO29" s="240"/>
      <c r="CUP29" s="239"/>
      <c r="CUQ29" s="240"/>
      <c r="CUR29" s="239"/>
      <c r="CUS29" s="240"/>
      <c r="CUT29" s="239"/>
      <c r="CUU29" s="240"/>
      <c r="CUV29" s="239"/>
      <c r="CUW29" s="240"/>
      <c r="CUX29" s="239"/>
      <c r="CUY29" s="240"/>
      <c r="CUZ29" s="239"/>
      <c r="CVA29" s="240"/>
      <c r="CVB29" s="239"/>
      <c r="CVC29" s="240"/>
      <c r="CVD29" s="239"/>
      <c r="CVE29" s="240"/>
      <c r="CVF29" s="239"/>
      <c r="CVG29" s="240"/>
      <c r="CVH29" s="239"/>
      <c r="CVI29" s="240"/>
      <c r="CVJ29" s="239"/>
      <c r="CVK29" s="240"/>
      <c r="CVL29" s="239"/>
      <c r="CVM29" s="240"/>
      <c r="CVN29" s="239"/>
      <c r="CVO29" s="240"/>
      <c r="CVP29" s="239"/>
      <c r="CVQ29" s="240"/>
      <c r="CVR29" s="239"/>
      <c r="CVS29" s="240"/>
      <c r="CVT29" s="239"/>
      <c r="CVU29" s="240"/>
      <c r="CVV29" s="239"/>
      <c r="CVW29" s="240"/>
      <c r="CVX29" s="239"/>
      <c r="CVY29" s="240"/>
      <c r="CVZ29" s="239"/>
      <c r="CWA29" s="240"/>
      <c r="CWB29" s="239"/>
      <c r="CWC29" s="240"/>
      <c r="CWD29" s="239"/>
      <c r="CWE29" s="240"/>
      <c r="CWF29" s="239"/>
      <c r="CWG29" s="240"/>
      <c r="CWH29" s="239"/>
      <c r="CWI29" s="240"/>
      <c r="CWJ29" s="239"/>
      <c r="CWK29" s="240"/>
      <c r="CWL29" s="239"/>
      <c r="CWM29" s="240"/>
      <c r="CWN29" s="239"/>
      <c r="CWO29" s="240"/>
      <c r="CWP29" s="239"/>
      <c r="CWQ29" s="240"/>
      <c r="CWR29" s="239"/>
      <c r="CWS29" s="240"/>
      <c r="CWT29" s="239"/>
      <c r="CWU29" s="240"/>
      <c r="CWV29" s="239"/>
      <c r="CWW29" s="240"/>
      <c r="CWX29" s="239"/>
      <c r="CWY29" s="240"/>
      <c r="CWZ29" s="239"/>
      <c r="CXA29" s="240"/>
      <c r="CXB29" s="239"/>
      <c r="CXC29" s="240"/>
      <c r="CXD29" s="239"/>
      <c r="CXE29" s="240"/>
      <c r="CXF29" s="239"/>
      <c r="CXG29" s="240"/>
      <c r="CXH29" s="239"/>
      <c r="CXI29" s="240"/>
      <c r="CXJ29" s="239"/>
      <c r="CXK29" s="240"/>
      <c r="CXL29" s="239"/>
      <c r="CXM29" s="240"/>
      <c r="CXN29" s="239"/>
      <c r="CXO29" s="240"/>
      <c r="CXP29" s="239"/>
      <c r="CXQ29" s="240"/>
      <c r="CXR29" s="239"/>
      <c r="CXS29" s="240"/>
      <c r="CXT29" s="239"/>
      <c r="CXU29" s="240"/>
      <c r="CXV29" s="239"/>
      <c r="CXW29" s="240"/>
      <c r="CXX29" s="239"/>
      <c r="CXY29" s="240"/>
      <c r="CXZ29" s="239"/>
      <c r="CYA29" s="240"/>
      <c r="CYB29" s="239"/>
      <c r="CYC29" s="240"/>
      <c r="CYD29" s="239"/>
      <c r="CYE29" s="240"/>
      <c r="CYF29" s="239"/>
      <c r="CYG29" s="240"/>
      <c r="CYH29" s="239"/>
      <c r="CYI29" s="240"/>
      <c r="CYJ29" s="239"/>
      <c r="CYK29" s="240"/>
      <c r="CYL29" s="239"/>
      <c r="CYM29" s="240"/>
      <c r="CYN29" s="239"/>
      <c r="CYO29" s="240"/>
      <c r="CYP29" s="239"/>
      <c r="CYQ29" s="240"/>
      <c r="CYR29" s="239"/>
      <c r="CYS29" s="240"/>
      <c r="CYT29" s="239"/>
      <c r="CYU29" s="240"/>
      <c r="CYV29" s="239"/>
      <c r="CYW29" s="240"/>
      <c r="CYX29" s="239"/>
      <c r="CYY29" s="240"/>
      <c r="CYZ29" s="239"/>
      <c r="CZA29" s="240"/>
      <c r="CZB29" s="239"/>
      <c r="CZC29" s="240"/>
      <c r="CZD29" s="239"/>
      <c r="CZE29" s="240"/>
      <c r="CZF29" s="239"/>
      <c r="CZG29" s="240"/>
      <c r="CZH29" s="239"/>
      <c r="CZI29" s="240"/>
      <c r="CZJ29" s="239"/>
      <c r="CZK29" s="240"/>
      <c r="CZL29" s="239"/>
      <c r="CZM29" s="240"/>
      <c r="CZN29" s="239"/>
      <c r="CZO29" s="240"/>
      <c r="CZP29" s="239"/>
      <c r="CZQ29" s="240"/>
      <c r="CZR29" s="239"/>
      <c r="CZS29" s="240"/>
      <c r="CZT29" s="239"/>
      <c r="CZU29" s="240"/>
      <c r="CZV29" s="239"/>
      <c r="CZW29" s="240"/>
      <c r="CZX29" s="239"/>
      <c r="CZY29" s="240"/>
      <c r="CZZ29" s="239"/>
      <c r="DAA29" s="240"/>
      <c r="DAB29" s="239"/>
      <c r="DAC29" s="240"/>
      <c r="DAD29" s="239"/>
      <c r="DAE29" s="240"/>
      <c r="DAF29" s="239"/>
      <c r="DAG29" s="240"/>
      <c r="DAH29" s="239"/>
      <c r="DAI29" s="240"/>
      <c r="DAJ29" s="239"/>
      <c r="DAK29" s="240"/>
      <c r="DAL29" s="239"/>
      <c r="DAM29" s="240"/>
      <c r="DAN29" s="239"/>
      <c r="DAO29" s="240"/>
      <c r="DAP29" s="239"/>
      <c r="DAQ29" s="240"/>
      <c r="DAR29" s="239"/>
      <c r="DAS29" s="240"/>
      <c r="DAT29" s="239"/>
      <c r="DAU29" s="240"/>
      <c r="DAV29" s="239"/>
      <c r="DAW29" s="240"/>
      <c r="DAX29" s="239"/>
      <c r="DAY29" s="240"/>
      <c r="DAZ29" s="239"/>
      <c r="DBA29" s="240"/>
      <c r="DBB29" s="239"/>
      <c r="DBC29" s="240"/>
      <c r="DBD29" s="239"/>
      <c r="DBE29" s="240"/>
      <c r="DBF29" s="239"/>
      <c r="DBG29" s="240"/>
      <c r="DBH29" s="239"/>
      <c r="DBI29" s="240"/>
      <c r="DBJ29" s="239"/>
      <c r="DBK29" s="240"/>
      <c r="DBL29" s="239"/>
      <c r="DBM29" s="240"/>
      <c r="DBN29" s="239"/>
      <c r="DBO29" s="240"/>
      <c r="DBP29" s="239"/>
      <c r="DBQ29" s="240"/>
      <c r="DBR29" s="239"/>
      <c r="DBS29" s="240"/>
      <c r="DBT29" s="239"/>
      <c r="DBU29" s="240"/>
      <c r="DBV29" s="239"/>
      <c r="DBW29" s="240"/>
      <c r="DBX29" s="239"/>
      <c r="DBY29" s="240"/>
      <c r="DBZ29" s="239"/>
      <c r="DCA29" s="240"/>
      <c r="DCB29" s="239"/>
      <c r="DCC29" s="240"/>
      <c r="DCD29" s="239"/>
      <c r="DCE29" s="240"/>
      <c r="DCF29" s="239"/>
      <c r="DCG29" s="240"/>
      <c r="DCH29" s="239"/>
      <c r="DCI29" s="240"/>
      <c r="DCJ29" s="239"/>
      <c r="DCK29" s="240"/>
      <c r="DCL29" s="239"/>
      <c r="DCM29" s="240"/>
      <c r="DCN29" s="239"/>
      <c r="DCO29" s="240"/>
      <c r="DCP29" s="239"/>
      <c r="DCQ29" s="240"/>
      <c r="DCR29" s="239"/>
      <c r="DCS29" s="240"/>
      <c r="DCT29" s="239"/>
      <c r="DCU29" s="240"/>
      <c r="DCV29" s="239"/>
      <c r="DCW29" s="240"/>
      <c r="DCX29" s="239"/>
      <c r="DCY29" s="240"/>
      <c r="DCZ29" s="239"/>
      <c r="DDA29" s="240"/>
      <c r="DDB29" s="239"/>
      <c r="DDC29" s="240"/>
      <c r="DDD29" s="239"/>
      <c r="DDE29" s="240"/>
      <c r="DDF29" s="239"/>
      <c r="DDG29" s="240"/>
      <c r="DDH29" s="239"/>
      <c r="DDI29" s="240"/>
      <c r="DDJ29" s="239"/>
      <c r="DDK29" s="240"/>
      <c r="DDL29" s="239"/>
      <c r="DDM29" s="240"/>
      <c r="DDN29" s="239"/>
      <c r="DDO29" s="240"/>
      <c r="DDP29" s="239"/>
      <c r="DDQ29" s="240"/>
      <c r="DDR29" s="239"/>
      <c r="DDS29" s="240"/>
      <c r="DDT29" s="239"/>
      <c r="DDU29" s="240"/>
      <c r="DDV29" s="239"/>
      <c r="DDW29" s="240"/>
      <c r="DDX29" s="239"/>
      <c r="DDY29" s="240"/>
      <c r="DDZ29" s="239"/>
      <c r="DEA29" s="240"/>
      <c r="DEB29" s="239"/>
      <c r="DEC29" s="240"/>
      <c r="DED29" s="239"/>
      <c r="DEE29" s="240"/>
      <c r="DEF29" s="239"/>
      <c r="DEG29" s="240"/>
      <c r="DEH29" s="239"/>
      <c r="DEI29" s="240"/>
      <c r="DEJ29" s="239"/>
      <c r="DEK29" s="240"/>
      <c r="DEL29" s="239"/>
      <c r="DEM29" s="240"/>
      <c r="DEN29" s="239"/>
      <c r="DEO29" s="240"/>
      <c r="DEP29" s="239"/>
      <c r="DEQ29" s="240"/>
      <c r="DER29" s="239"/>
      <c r="DES29" s="240"/>
      <c r="DET29" s="239"/>
      <c r="DEU29" s="240"/>
      <c r="DEV29" s="239"/>
      <c r="DEW29" s="240"/>
      <c r="DEX29" s="239"/>
      <c r="DEY29" s="240"/>
      <c r="DEZ29" s="239"/>
      <c r="DFA29" s="240"/>
      <c r="DFB29" s="239"/>
      <c r="DFC29" s="240"/>
      <c r="DFD29" s="239"/>
      <c r="DFE29" s="240"/>
      <c r="DFF29" s="239"/>
      <c r="DFG29" s="240"/>
      <c r="DFH29" s="239"/>
      <c r="DFI29" s="240"/>
      <c r="DFJ29" s="239"/>
      <c r="DFK29" s="240"/>
      <c r="DFL29" s="239"/>
      <c r="DFM29" s="240"/>
      <c r="DFN29" s="239"/>
      <c r="DFO29" s="240"/>
      <c r="DFP29" s="239"/>
      <c r="DFQ29" s="240"/>
      <c r="DFR29" s="239"/>
      <c r="DFS29" s="240"/>
      <c r="DFT29" s="239"/>
      <c r="DFU29" s="240"/>
      <c r="DFV29" s="239"/>
      <c r="DFW29" s="240"/>
      <c r="DFX29" s="239"/>
      <c r="DFY29" s="240"/>
      <c r="DFZ29" s="239"/>
      <c r="DGA29" s="240"/>
      <c r="DGB29" s="239"/>
      <c r="DGC29" s="240"/>
      <c r="DGD29" s="239"/>
      <c r="DGE29" s="240"/>
      <c r="DGF29" s="239"/>
      <c r="DGG29" s="240"/>
      <c r="DGH29" s="239"/>
      <c r="DGI29" s="240"/>
      <c r="DGJ29" s="239"/>
      <c r="DGK29" s="240"/>
      <c r="DGL29" s="239"/>
      <c r="DGM29" s="240"/>
      <c r="DGN29" s="239"/>
      <c r="DGO29" s="240"/>
      <c r="DGP29" s="239"/>
      <c r="DGQ29" s="240"/>
      <c r="DGR29" s="239"/>
      <c r="DGS29" s="240"/>
      <c r="DGT29" s="239"/>
      <c r="DGU29" s="240"/>
      <c r="DGV29" s="239"/>
      <c r="DGW29" s="240"/>
      <c r="DGX29" s="239"/>
      <c r="DGY29" s="240"/>
      <c r="DGZ29" s="239"/>
      <c r="DHA29" s="240"/>
      <c r="DHB29" s="239"/>
      <c r="DHC29" s="240"/>
      <c r="DHD29" s="239"/>
      <c r="DHE29" s="240"/>
      <c r="DHF29" s="239"/>
      <c r="DHG29" s="240"/>
      <c r="DHH29" s="239"/>
      <c r="DHI29" s="240"/>
      <c r="DHJ29" s="239"/>
      <c r="DHK29" s="240"/>
      <c r="DHL29" s="239"/>
      <c r="DHM29" s="240"/>
      <c r="DHN29" s="239"/>
      <c r="DHO29" s="240"/>
      <c r="DHP29" s="239"/>
      <c r="DHQ29" s="240"/>
      <c r="DHR29" s="239"/>
      <c r="DHS29" s="240"/>
      <c r="DHT29" s="239"/>
      <c r="DHU29" s="240"/>
      <c r="DHV29" s="239"/>
      <c r="DHW29" s="240"/>
      <c r="DHX29" s="239"/>
      <c r="DHY29" s="240"/>
      <c r="DHZ29" s="239"/>
      <c r="DIA29" s="240"/>
      <c r="DIB29" s="239"/>
      <c r="DIC29" s="240"/>
      <c r="DID29" s="239"/>
      <c r="DIE29" s="240"/>
      <c r="DIF29" s="239"/>
      <c r="DIG29" s="240"/>
      <c r="DIH29" s="239"/>
      <c r="DII29" s="240"/>
      <c r="DIJ29" s="239"/>
      <c r="DIK29" s="240"/>
      <c r="DIL29" s="239"/>
      <c r="DIM29" s="240"/>
      <c r="DIN29" s="239"/>
      <c r="DIO29" s="240"/>
      <c r="DIP29" s="239"/>
      <c r="DIQ29" s="240"/>
      <c r="DIR29" s="239"/>
      <c r="DIS29" s="240"/>
      <c r="DIT29" s="239"/>
      <c r="DIU29" s="240"/>
      <c r="DIV29" s="239"/>
      <c r="DIW29" s="240"/>
      <c r="DIX29" s="239"/>
      <c r="DIY29" s="240"/>
      <c r="DIZ29" s="239"/>
      <c r="DJA29" s="240"/>
      <c r="DJB29" s="239"/>
      <c r="DJC29" s="240"/>
      <c r="DJD29" s="239"/>
      <c r="DJE29" s="240"/>
      <c r="DJF29" s="239"/>
      <c r="DJG29" s="240"/>
      <c r="DJH29" s="239"/>
      <c r="DJI29" s="240"/>
      <c r="DJJ29" s="239"/>
      <c r="DJK29" s="240"/>
      <c r="DJL29" s="239"/>
      <c r="DJM29" s="240"/>
      <c r="DJN29" s="239"/>
      <c r="DJO29" s="240"/>
      <c r="DJP29" s="239"/>
      <c r="DJQ29" s="240"/>
      <c r="DJR29" s="239"/>
      <c r="DJS29" s="240"/>
      <c r="DJT29" s="239"/>
      <c r="DJU29" s="240"/>
      <c r="DJV29" s="239"/>
      <c r="DJW29" s="240"/>
      <c r="DJX29" s="239"/>
      <c r="DJY29" s="240"/>
      <c r="DJZ29" s="239"/>
      <c r="DKA29" s="240"/>
      <c r="DKB29" s="239"/>
      <c r="DKC29" s="240"/>
      <c r="DKD29" s="239"/>
      <c r="DKE29" s="240"/>
      <c r="DKF29" s="239"/>
      <c r="DKG29" s="240"/>
      <c r="DKH29" s="239"/>
      <c r="DKI29" s="240"/>
      <c r="DKJ29" s="239"/>
      <c r="DKK29" s="240"/>
      <c r="DKL29" s="239"/>
      <c r="DKM29" s="240"/>
      <c r="DKN29" s="239"/>
      <c r="DKO29" s="240"/>
      <c r="DKP29" s="239"/>
      <c r="DKQ29" s="240"/>
      <c r="DKR29" s="239"/>
      <c r="DKS29" s="240"/>
      <c r="DKT29" s="239"/>
      <c r="DKU29" s="240"/>
      <c r="DKV29" s="239"/>
      <c r="DKW29" s="240"/>
      <c r="DKX29" s="239"/>
      <c r="DKY29" s="240"/>
      <c r="DKZ29" s="239"/>
      <c r="DLA29" s="240"/>
      <c r="DLB29" s="239"/>
      <c r="DLC29" s="240"/>
      <c r="DLD29" s="239"/>
      <c r="DLE29" s="240"/>
      <c r="DLF29" s="239"/>
      <c r="DLG29" s="240"/>
      <c r="DLH29" s="239"/>
      <c r="DLI29" s="240"/>
      <c r="DLJ29" s="239"/>
      <c r="DLK29" s="240"/>
      <c r="DLL29" s="239"/>
      <c r="DLM29" s="240"/>
      <c r="DLN29" s="239"/>
      <c r="DLO29" s="240"/>
      <c r="DLP29" s="239"/>
      <c r="DLQ29" s="240"/>
      <c r="DLR29" s="239"/>
      <c r="DLS29" s="240"/>
      <c r="DLT29" s="239"/>
      <c r="DLU29" s="240"/>
      <c r="DLV29" s="239"/>
      <c r="DLW29" s="240"/>
      <c r="DLX29" s="239"/>
      <c r="DLY29" s="240"/>
      <c r="DLZ29" s="239"/>
      <c r="DMA29" s="240"/>
      <c r="DMB29" s="239"/>
      <c r="DMC29" s="240"/>
      <c r="DMD29" s="239"/>
      <c r="DME29" s="240"/>
      <c r="DMF29" s="239"/>
      <c r="DMG29" s="240"/>
      <c r="DMH29" s="239"/>
      <c r="DMI29" s="240"/>
      <c r="DMJ29" s="239"/>
      <c r="DMK29" s="240"/>
      <c r="DML29" s="239"/>
      <c r="DMM29" s="240"/>
      <c r="DMN29" s="239"/>
      <c r="DMO29" s="240"/>
      <c r="DMP29" s="239"/>
      <c r="DMQ29" s="240"/>
      <c r="DMR29" s="239"/>
      <c r="DMS29" s="240"/>
      <c r="DMT29" s="239"/>
      <c r="DMU29" s="240"/>
      <c r="DMV29" s="239"/>
      <c r="DMW29" s="240"/>
      <c r="DMX29" s="239"/>
      <c r="DMY29" s="240"/>
      <c r="DMZ29" s="239"/>
      <c r="DNA29" s="240"/>
      <c r="DNB29" s="239"/>
      <c r="DNC29" s="240"/>
      <c r="DND29" s="239"/>
      <c r="DNE29" s="240"/>
      <c r="DNF29" s="239"/>
      <c r="DNG29" s="240"/>
      <c r="DNH29" s="239"/>
      <c r="DNI29" s="240"/>
      <c r="DNJ29" s="239"/>
      <c r="DNK29" s="240"/>
      <c r="DNL29" s="239"/>
      <c r="DNM29" s="240"/>
      <c r="DNN29" s="239"/>
      <c r="DNO29" s="240"/>
      <c r="DNP29" s="239"/>
      <c r="DNQ29" s="240"/>
      <c r="DNR29" s="239"/>
      <c r="DNS29" s="240"/>
      <c r="DNT29" s="239"/>
      <c r="DNU29" s="240"/>
      <c r="DNV29" s="239"/>
      <c r="DNW29" s="240"/>
      <c r="DNX29" s="239"/>
      <c r="DNY29" s="240"/>
      <c r="DNZ29" s="239"/>
      <c r="DOA29" s="240"/>
      <c r="DOB29" s="239"/>
      <c r="DOC29" s="240"/>
      <c r="DOD29" s="239"/>
      <c r="DOE29" s="240"/>
      <c r="DOF29" s="239"/>
      <c r="DOG29" s="240"/>
      <c r="DOH29" s="239"/>
      <c r="DOI29" s="240"/>
      <c r="DOJ29" s="239"/>
      <c r="DOK29" s="240"/>
      <c r="DOL29" s="239"/>
      <c r="DOM29" s="240"/>
      <c r="DON29" s="239"/>
      <c r="DOO29" s="240"/>
      <c r="DOP29" s="239"/>
      <c r="DOQ29" s="240"/>
      <c r="DOR29" s="239"/>
      <c r="DOS29" s="240"/>
      <c r="DOT29" s="239"/>
      <c r="DOU29" s="240"/>
      <c r="DOV29" s="239"/>
      <c r="DOW29" s="240"/>
      <c r="DOX29" s="239"/>
      <c r="DOY29" s="240"/>
      <c r="DOZ29" s="239"/>
      <c r="DPA29" s="240"/>
      <c r="DPB29" s="239"/>
      <c r="DPC29" s="240"/>
      <c r="DPD29" s="239"/>
      <c r="DPE29" s="240"/>
      <c r="DPF29" s="239"/>
      <c r="DPG29" s="240"/>
      <c r="DPH29" s="239"/>
      <c r="DPI29" s="240"/>
      <c r="DPJ29" s="239"/>
      <c r="DPK29" s="240"/>
      <c r="DPL29" s="239"/>
      <c r="DPM29" s="240"/>
      <c r="DPN29" s="239"/>
      <c r="DPO29" s="240"/>
      <c r="DPP29" s="239"/>
      <c r="DPQ29" s="240"/>
      <c r="DPR29" s="239"/>
      <c r="DPS29" s="240"/>
      <c r="DPT29" s="239"/>
      <c r="DPU29" s="240"/>
      <c r="DPV29" s="239"/>
      <c r="DPW29" s="240"/>
      <c r="DPX29" s="239"/>
      <c r="DPY29" s="240"/>
      <c r="DPZ29" s="239"/>
      <c r="DQA29" s="240"/>
      <c r="DQB29" s="239"/>
      <c r="DQC29" s="240"/>
      <c r="DQD29" s="239"/>
      <c r="DQE29" s="240"/>
      <c r="DQF29" s="239"/>
      <c r="DQG29" s="240"/>
      <c r="DQH29" s="239"/>
      <c r="DQI29" s="240"/>
      <c r="DQJ29" s="239"/>
      <c r="DQK29" s="240"/>
      <c r="DQL29" s="239"/>
      <c r="DQM29" s="240"/>
      <c r="DQN29" s="239"/>
      <c r="DQO29" s="240"/>
      <c r="DQP29" s="239"/>
      <c r="DQQ29" s="240"/>
      <c r="DQR29" s="239"/>
      <c r="DQS29" s="240"/>
      <c r="DQT29" s="239"/>
      <c r="DQU29" s="240"/>
      <c r="DQV29" s="239"/>
      <c r="DQW29" s="240"/>
      <c r="DQX29" s="239"/>
      <c r="DQY29" s="240"/>
      <c r="DQZ29" s="239"/>
      <c r="DRA29" s="240"/>
      <c r="DRB29" s="239"/>
      <c r="DRC29" s="240"/>
      <c r="DRD29" s="239"/>
      <c r="DRE29" s="240"/>
      <c r="DRF29" s="239"/>
      <c r="DRG29" s="240"/>
      <c r="DRH29" s="239"/>
      <c r="DRI29" s="240"/>
      <c r="DRJ29" s="239"/>
      <c r="DRK29" s="240"/>
      <c r="DRL29" s="239"/>
      <c r="DRM29" s="240"/>
      <c r="DRN29" s="239"/>
      <c r="DRO29" s="240"/>
      <c r="DRP29" s="239"/>
      <c r="DRQ29" s="240"/>
      <c r="DRR29" s="239"/>
      <c r="DRS29" s="240"/>
      <c r="DRT29" s="239"/>
      <c r="DRU29" s="240"/>
      <c r="DRV29" s="239"/>
      <c r="DRW29" s="240"/>
      <c r="DRX29" s="239"/>
      <c r="DRY29" s="240"/>
      <c r="DRZ29" s="239"/>
      <c r="DSA29" s="240"/>
      <c r="DSB29" s="239"/>
      <c r="DSC29" s="240"/>
      <c r="DSD29" s="239"/>
      <c r="DSE29" s="240"/>
      <c r="DSF29" s="239"/>
      <c r="DSG29" s="240"/>
      <c r="DSH29" s="239"/>
      <c r="DSI29" s="240"/>
      <c r="DSJ29" s="239"/>
      <c r="DSK29" s="240"/>
      <c r="DSL29" s="239"/>
      <c r="DSM29" s="240"/>
      <c r="DSN29" s="239"/>
      <c r="DSO29" s="240"/>
      <c r="DSP29" s="239"/>
      <c r="DSQ29" s="240"/>
      <c r="DSR29" s="239"/>
      <c r="DSS29" s="240"/>
      <c r="DST29" s="239"/>
      <c r="DSU29" s="240"/>
      <c r="DSV29" s="239"/>
      <c r="DSW29" s="240"/>
      <c r="DSX29" s="239"/>
      <c r="DSY29" s="240"/>
      <c r="DSZ29" s="239"/>
      <c r="DTA29" s="240"/>
      <c r="DTB29" s="239"/>
      <c r="DTC29" s="240"/>
      <c r="DTD29" s="239"/>
      <c r="DTE29" s="240"/>
      <c r="DTF29" s="239"/>
      <c r="DTG29" s="240"/>
      <c r="DTH29" s="239"/>
      <c r="DTI29" s="240"/>
      <c r="DTJ29" s="239"/>
      <c r="DTK29" s="240"/>
      <c r="DTL29" s="239"/>
      <c r="DTM29" s="240"/>
      <c r="DTN29" s="239"/>
      <c r="DTO29" s="240"/>
      <c r="DTP29" s="239"/>
      <c r="DTQ29" s="240"/>
      <c r="DTR29" s="239"/>
      <c r="DTS29" s="240"/>
      <c r="DTT29" s="239"/>
      <c r="DTU29" s="240"/>
      <c r="DTV29" s="239"/>
      <c r="DTW29" s="240"/>
      <c r="DTX29" s="239"/>
      <c r="DTY29" s="240"/>
      <c r="DTZ29" s="239"/>
      <c r="DUA29" s="240"/>
      <c r="DUB29" s="239"/>
      <c r="DUC29" s="240"/>
      <c r="DUD29" s="239"/>
      <c r="DUE29" s="240"/>
      <c r="DUF29" s="239"/>
      <c r="DUG29" s="240"/>
      <c r="DUH29" s="239"/>
      <c r="DUI29" s="240"/>
      <c r="DUJ29" s="239"/>
      <c r="DUK29" s="240"/>
      <c r="DUL29" s="239"/>
      <c r="DUM29" s="240"/>
      <c r="DUN29" s="239"/>
      <c r="DUO29" s="240"/>
      <c r="DUP29" s="239"/>
      <c r="DUQ29" s="240"/>
      <c r="DUR29" s="239"/>
      <c r="DUS29" s="240"/>
      <c r="DUT29" s="239"/>
      <c r="DUU29" s="240"/>
      <c r="DUV29" s="239"/>
      <c r="DUW29" s="240"/>
      <c r="DUX29" s="239"/>
      <c r="DUY29" s="240"/>
      <c r="DUZ29" s="239"/>
      <c r="DVA29" s="240"/>
      <c r="DVB29" s="239"/>
      <c r="DVC29" s="240"/>
      <c r="DVD29" s="239"/>
      <c r="DVE29" s="240"/>
      <c r="DVF29" s="239"/>
      <c r="DVG29" s="240"/>
      <c r="DVH29" s="239"/>
      <c r="DVI29" s="240"/>
      <c r="DVJ29" s="239"/>
      <c r="DVK29" s="240"/>
      <c r="DVL29" s="239"/>
      <c r="DVM29" s="240"/>
      <c r="DVN29" s="239"/>
      <c r="DVO29" s="240"/>
      <c r="DVP29" s="239"/>
      <c r="DVQ29" s="240"/>
      <c r="DVR29" s="239"/>
      <c r="DVS29" s="240"/>
      <c r="DVT29" s="239"/>
      <c r="DVU29" s="240"/>
      <c r="DVV29" s="239"/>
      <c r="DVW29" s="240"/>
      <c r="DVX29" s="239"/>
      <c r="DVY29" s="240"/>
      <c r="DVZ29" s="239"/>
      <c r="DWA29" s="240"/>
      <c r="DWB29" s="239"/>
      <c r="DWC29" s="240"/>
      <c r="DWD29" s="239"/>
      <c r="DWE29" s="240"/>
      <c r="DWF29" s="239"/>
      <c r="DWG29" s="240"/>
      <c r="DWH29" s="239"/>
      <c r="DWI29" s="240"/>
      <c r="DWJ29" s="239"/>
      <c r="DWK29" s="240"/>
      <c r="DWL29" s="239"/>
      <c r="DWM29" s="240"/>
      <c r="DWN29" s="239"/>
      <c r="DWO29" s="240"/>
      <c r="DWP29" s="239"/>
      <c r="DWQ29" s="240"/>
      <c r="DWR29" s="239"/>
      <c r="DWS29" s="240"/>
      <c r="DWT29" s="239"/>
      <c r="DWU29" s="240"/>
      <c r="DWV29" s="239"/>
      <c r="DWW29" s="240"/>
      <c r="DWX29" s="239"/>
      <c r="DWY29" s="240"/>
      <c r="DWZ29" s="239"/>
      <c r="DXA29" s="240"/>
      <c r="DXB29" s="239"/>
      <c r="DXC29" s="240"/>
      <c r="DXD29" s="239"/>
      <c r="DXE29" s="240"/>
      <c r="DXF29" s="239"/>
      <c r="DXG29" s="240"/>
      <c r="DXH29" s="239"/>
      <c r="DXI29" s="240"/>
      <c r="DXJ29" s="239"/>
      <c r="DXK29" s="240"/>
      <c r="DXL29" s="239"/>
      <c r="DXM29" s="240"/>
      <c r="DXN29" s="239"/>
      <c r="DXO29" s="240"/>
      <c r="DXP29" s="239"/>
      <c r="DXQ29" s="240"/>
      <c r="DXR29" s="239"/>
      <c r="DXS29" s="240"/>
      <c r="DXT29" s="239"/>
      <c r="DXU29" s="240"/>
      <c r="DXV29" s="239"/>
      <c r="DXW29" s="240"/>
      <c r="DXX29" s="239"/>
      <c r="DXY29" s="240"/>
      <c r="DXZ29" s="239"/>
      <c r="DYA29" s="240"/>
      <c r="DYB29" s="239"/>
      <c r="DYC29" s="240"/>
      <c r="DYD29" s="239"/>
      <c r="DYE29" s="240"/>
      <c r="DYF29" s="239"/>
      <c r="DYG29" s="240"/>
      <c r="DYH29" s="239"/>
      <c r="DYI29" s="240"/>
      <c r="DYJ29" s="239"/>
      <c r="DYK29" s="240"/>
      <c r="DYL29" s="239"/>
      <c r="DYM29" s="240"/>
      <c r="DYN29" s="239"/>
      <c r="DYO29" s="240"/>
      <c r="DYP29" s="239"/>
      <c r="DYQ29" s="240"/>
      <c r="DYR29" s="239"/>
      <c r="DYS29" s="240"/>
      <c r="DYT29" s="239"/>
      <c r="DYU29" s="240"/>
      <c r="DYV29" s="239"/>
      <c r="DYW29" s="240"/>
      <c r="DYX29" s="239"/>
      <c r="DYY29" s="240"/>
      <c r="DYZ29" s="239"/>
      <c r="DZA29" s="240"/>
      <c r="DZB29" s="239"/>
      <c r="DZC29" s="240"/>
      <c r="DZD29" s="239"/>
      <c r="DZE29" s="240"/>
      <c r="DZF29" s="239"/>
      <c r="DZG29" s="240"/>
      <c r="DZH29" s="239"/>
      <c r="DZI29" s="240"/>
      <c r="DZJ29" s="239"/>
      <c r="DZK29" s="240"/>
      <c r="DZL29" s="239"/>
      <c r="DZM29" s="240"/>
      <c r="DZN29" s="239"/>
      <c r="DZO29" s="240"/>
      <c r="DZP29" s="239"/>
      <c r="DZQ29" s="240"/>
      <c r="DZR29" s="239"/>
      <c r="DZS29" s="240"/>
      <c r="DZT29" s="239"/>
      <c r="DZU29" s="240"/>
      <c r="DZV29" s="239"/>
      <c r="DZW29" s="240"/>
      <c r="DZX29" s="239"/>
      <c r="DZY29" s="240"/>
      <c r="DZZ29" s="239"/>
      <c r="EAA29" s="240"/>
      <c r="EAB29" s="239"/>
      <c r="EAC29" s="240"/>
      <c r="EAD29" s="239"/>
      <c r="EAE29" s="240"/>
      <c r="EAF29" s="239"/>
      <c r="EAG29" s="240"/>
      <c r="EAH29" s="239"/>
      <c r="EAI29" s="240"/>
      <c r="EAJ29" s="239"/>
      <c r="EAK29" s="240"/>
      <c r="EAL29" s="239"/>
      <c r="EAM29" s="240"/>
      <c r="EAN29" s="239"/>
      <c r="EAO29" s="240"/>
      <c r="EAP29" s="239"/>
      <c r="EAQ29" s="240"/>
      <c r="EAR29" s="239"/>
      <c r="EAS29" s="240"/>
      <c r="EAT29" s="239"/>
      <c r="EAU29" s="240"/>
      <c r="EAV29" s="239"/>
      <c r="EAW29" s="240"/>
      <c r="EAX29" s="239"/>
      <c r="EAY29" s="240"/>
      <c r="EAZ29" s="239"/>
      <c r="EBA29" s="240"/>
      <c r="EBB29" s="239"/>
      <c r="EBC29" s="240"/>
      <c r="EBD29" s="239"/>
      <c r="EBE29" s="240"/>
      <c r="EBF29" s="239"/>
      <c r="EBG29" s="240"/>
      <c r="EBH29" s="239"/>
      <c r="EBI29" s="240"/>
      <c r="EBJ29" s="239"/>
      <c r="EBK29" s="240"/>
      <c r="EBL29" s="239"/>
      <c r="EBM29" s="240"/>
      <c r="EBN29" s="239"/>
      <c r="EBO29" s="240"/>
      <c r="EBP29" s="239"/>
      <c r="EBQ29" s="240"/>
      <c r="EBR29" s="239"/>
      <c r="EBS29" s="240"/>
      <c r="EBT29" s="239"/>
      <c r="EBU29" s="240"/>
      <c r="EBV29" s="239"/>
      <c r="EBW29" s="240"/>
      <c r="EBX29" s="239"/>
      <c r="EBY29" s="240"/>
      <c r="EBZ29" s="239"/>
      <c r="ECA29" s="240"/>
      <c r="ECB29" s="239"/>
      <c r="ECC29" s="240"/>
      <c r="ECD29" s="239"/>
      <c r="ECE29" s="240"/>
      <c r="ECF29" s="239"/>
      <c r="ECG29" s="240"/>
      <c r="ECH29" s="239"/>
      <c r="ECI29" s="240"/>
      <c r="ECJ29" s="239"/>
      <c r="ECK29" s="240"/>
      <c r="ECL29" s="239"/>
      <c r="ECM29" s="240"/>
      <c r="ECN29" s="239"/>
      <c r="ECO29" s="240"/>
      <c r="ECP29" s="239"/>
      <c r="ECQ29" s="240"/>
      <c r="ECR29" s="239"/>
      <c r="ECS29" s="240"/>
      <c r="ECT29" s="239"/>
      <c r="ECU29" s="240"/>
      <c r="ECV29" s="239"/>
      <c r="ECW29" s="240"/>
      <c r="ECX29" s="239"/>
      <c r="ECY29" s="240"/>
      <c r="ECZ29" s="239"/>
      <c r="EDA29" s="240"/>
      <c r="EDB29" s="239"/>
      <c r="EDC29" s="240"/>
      <c r="EDD29" s="239"/>
      <c r="EDE29" s="240"/>
      <c r="EDF29" s="239"/>
      <c r="EDG29" s="240"/>
      <c r="EDH29" s="239"/>
      <c r="EDI29" s="240"/>
      <c r="EDJ29" s="239"/>
      <c r="EDK29" s="240"/>
      <c r="EDL29" s="239"/>
      <c r="EDM29" s="240"/>
      <c r="EDN29" s="239"/>
      <c r="EDO29" s="240"/>
      <c r="EDP29" s="239"/>
      <c r="EDQ29" s="240"/>
      <c r="EDR29" s="239"/>
      <c r="EDS29" s="240"/>
      <c r="EDT29" s="239"/>
      <c r="EDU29" s="240"/>
      <c r="EDV29" s="239"/>
      <c r="EDW29" s="240"/>
      <c r="EDX29" s="239"/>
      <c r="EDY29" s="240"/>
      <c r="EDZ29" s="239"/>
      <c r="EEA29" s="240"/>
      <c r="EEB29" s="239"/>
      <c r="EEC29" s="240"/>
      <c r="EED29" s="239"/>
      <c r="EEE29" s="240"/>
      <c r="EEF29" s="239"/>
      <c r="EEG29" s="240"/>
      <c r="EEH29" s="239"/>
      <c r="EEI29" s="240"/>
      <c r="EEJ29" s="239"/>
      <c r="EEK29" s="240"/>
      <c r="EEL29" s="239"/>
      <c r="EEM29" s="240"/>
      <c r="EEN29" s="239"/>
      <c r="EEO29" s="240"/>
      <c r="EEP29" s="239"/>
      <c r="EEQ29" s="240"/>
      <c r="EER29" s="239"/>
      <c r="EES29" s="240"/>
      <c r="EET29" s="239"/>
      <c r="EEU29" s="240"/>
      <c r="EEV29" s="239"/>
      <c r="EEW29" s="240"/>
      <c r="EEX29" s="239"/>
      <c r="EEY29" s="240"/>
      <c r="EEZ29" s="239"/>
      <c r="EFA29" s="240"/>
      <c r="EFB29" s="239"/>
      <c r="EFC29" s="240"/>
      <c r="EFD29" s="239"/>
      <c r="EFE29" s="240"/>
      <c r="EFF29" s="239"/>
      <c r="EFG29" s="240"/>
      <c r="EFH29" s="239"/>
      <c r="EFI29" s="240"/>
      <c r="EFJ29" s="239"/>
      <c r="EFK29" s="240"/>
      <c r="EFL29" s="239"/>
      <c r="EFM29" s="240"/>
      <c r="EFN29" s="239"/>
      <c r="EFO29" s="240"/>
      <c r="EFP29" s="239"/>
      <c r="EFQ29" s="240"/>
      <c r="EFR29" s="239"/>
      <c r="EFS29" s="240"/>
      <c r="EFT29" s="239"/>
      <c r="EFU29" s="240"/>
      <c r="EFV29" s="239"/>
      <c r="EFW29" s="240"/>
      <c r="EFX29" s="239"/>
      <c r="EFY29" s="240"/>
      <c r="EFZ29" s="239"/>
      <c r="EGA29" s="240"/>
      <c r="EGB29" s="239"/>
      <c r="EGC29" s="240"/>
      <c r="EGD29" s="239"/>
      <c r="EGE29" s="240"/>
      <c r="EGF29" s="239"/>
      <c r="EGG29" s="240"/>
      <c r="EGH29" s="239"/>
      <c r="EGI29" s="240"/>
      <c r="EGJ29" s="239"/>
      <c r="EGK29" s="240"/>
      <c r="EGL29" s="239"/>
      <c r="EGM29" s="240"/>
      <c r="EGN29" s="239"/>
      <c r="EGO29" s="240"/>
      <c r="EGP29" s="239"/>
      <c r="EGQ29" s="240"/>
      <c r="EGR29" s="239"/>
      <c r="EGS29" s="240"/>
      <c r="EGT29" s="239"/>
      <c r="EGU29" s="240"/>
      <c r="EGV29" s="239"/>
      <c r="EGW29" s="240"/>
      <c r="EGX29" s="239"/>
      <c r="EGY29" s="240"/>
      <c r="EGZ29" s="239"/>
      <c r="EHA29" s="240"/>
      <c r="EHB29" s="239"/>
      <c r="EHC29" s="240"/>
      <c r="EHD29" s="239"/>
      <c r="EHE29" s="240"/>
      <c r="EHF29" s="239"/>
      <c r="EHG29" s="240"/>
      <c r="EHH29" s="239"/>
      <c r="EHI29" s="240"/>
      <c r="EHJ29" s="239"/>
      <c r="EHK29" s="240"/>
      <c r="EHL29" s="239"/>
      <c r="EHM29" s="240"/>
      <c r="EHN29" s="239"/>
      <c r="EHO29" s="240"/>
      <c r="EHP29" s="239"/>
      <c r="EHQ29" s="240"/>
      <c r="EHR29" s="239"/>
      <c r="EHS29" s="240"/>
      <c r="EHT29" s="239"/>
      <c r="EHU29" s="240"/>
      <c r="EHV29" s="239"/>
      <c r="EHW29" s="240"/>
      <c r="EHX29" s="239"/>
      <c r="EHY29" s="240"/>
      <c r="EHZ29" s="239"/>
      <c r="EIA29" s="240"/>
      <c r="EIB29" s="239"/>
      <c r="EIC29" s="240"/>
      <c r="EID29" s="239"/>
      <c r="EIE29" s="240"/>
      <c r="EIF29" s="239"/>
      <c r="EIG29" s="240"/>
      <c r="EIH29" s="239"/>
      <c r="EII29" s="240"/>
      <c r="EIJ29" s="239"/>
      <c r="EIK29" s="240"/>
      <c r="EIL29" s="239"/>
      <c r="EIM29" s="240"/>
      <c r="EIN29" s="239"/>
      <c r="EIO29" s="240"/>
      <c r="EIP29" s="239"/>
      <c r="EIQ29" s="240"/>
      <c r="EIR29" s="239"/>
      <c r="EIS29" s="240"/>
      <c r="EIT29" s="239"/>
      <c r="EIU29" s="240"/>
      <c r="EIV29" s="239"/>
      <c r="EIW29" s="240"/>
      <c r="EIX29" s="239"/>
      <c r="EIY29" s="240"/>
      <c r="EIZ29" s="239"/>
      <c r="EJA29" s="240"/>
      <c r="EJB29" s="239"/>
      <c r="EJC29" s="240"/>
      <c r="EJD29" s="239"/>
      <c r="EJE29" s="240"/>
      <c r="EJF29" s="239"/>
      <c r="EJG29" s="240"/>
      <c r="EJH29" s="239"/>
      <c r="EJI29" s="240"/>
      <c r="EJJ29" s="239"/>
      <c r="EJK29" s="240"/>
      <c r="EJL29" s="239"/>
      <c r="EJM29" s="240"/>
      <c r="EJN29" s="239"/>
      <c r="EJO29" s="240"/>
      <c r="EJP29" s="239"/>
      <c r="EJQ29" s="240"/>
      <c r="EJR29" s="239"/>
      <c r="EJS29" s="240"/>
      <c r="EJT29" s="239"/>
      <c r="EJU29" s="240"/>
      <c r="EJV29" s="239"/>
      <c r="EJW29" s="240"/>
      <c r="EJX29" s="239"/>
      <c r="EJY29" s="240"/>
      <c r="EJZ29" s="239"/>
      <c r="EKA29" s="240"/>
      <c r="EKB29" s="239"/>
      <c r="EKC29" s="240"/>
      <c r="EKD29" s="239"/>
      <c r="EKE29" s="240"/>
      <c r="EKF29" s="239"/>
      <c r="EKG29" s="240"/>
      <c r="EKH29" s="239"/>
      <c r="EKI29" s="240"/>
      <c r="EKJ29" s="239"/>
      <c r="EKK29" s="240"/>
      <c r="EKL29" s="239"/>
      <c r="EKM29" s="240"/>
      <c r="EKN29" s="239"/>
      <c r="EKO29" s="240"/>
      <c r="EKP29" s="239"/>
      <c r="EKQ29" s="240"/>
      <c r="EKR29" s="239"/>
      <c r="EKS29" s="240"/>
      <c r="EKT29" s="239"/>
      <c r="EKU29" s="240"/>
      <c r="EKV29" s="239"/>
      <c r="EKW29" s="240"/>
      <c r="EKX29" s="239"/>
      <c r="EKY29" s="240"/>
      <c r="EKZ29" s="239"/>
      <c r="ELA29" s="240"/>
      <c r="ELB29" s="239"/>
      <c r="ELC29" s="240"/>
      <c r="ELD29" s="239"/>
      <c r="ELE29" s="240"/>
      <c r="ELF29" s="239"/>
      <c r="ELG29" s="240"/>
      <c r="ELH29" s="239"/>
      <c r="ELI29" s="240"/>
      <c r="ELJ29" s="239"/>
      <c r="ELK29" s="240"/>
      <c r="ELL29" s="239"/>
      <c r="ELM29" s="240"/>
      <c r="ELN29" s="239"/>
      <c r="ELO29" s="240"/>
      <c r="ELP29" s="239"/>
      <c r="ELQ29" s="240"/>
      <c r="ELR29" s="239"/>
      <c r="ELS29" s="240"/>
      <c r="ELT29" s="239"/>
      <c r="ELU29" s="240"/>
      <c r="ELV29" s="239"/>
      <c r="ELW29" s="240"/>
      <c r="ELX29" s="239"/>
      <c r="ELY29" s="240"/>
      <c r="ELZ29" s="239"/>
      <c r="EMA29" s="240"/>
      <c r="EMB29" s="239"/>
      <c r="EMC29" s="240"/>
      <c r="EMD29" s="239"/>
      <c r="EME29" s="240"/>
      <c r="EMF29" s="239"/>
      <c r="EMG29" s="240"/>
      <c r="EMH29" s="239"/>
      <c r="EMI29" s="240"/>
      <c r="EMJ29" s="239"/>
      <c r="EMK29" s="240"/>
      <c r="EML29" s="239"/>
      <c r="EMM29" s="240"/>
      <c r="EMN29" s="239"/>
      <c r="EMO29" s="240"/>
      <c r="EMP29" s="239"/>
      <c r="EMQ29" s="240"/>
      <c r="EMR29" s="239"/>
      <c r="EMS29" s="240"/>
      <c r="EMT29" s="239"/>
      <c r="EMU29" s="240"/>
      <c r="EMV29" s="239"/>
      <c r="EMW29" s="240"/>
      <c r="EMX29" s="239"/>
      <c r="EMY29" s="240"/>
      <c r="EMZ29" s="239"/>
      <c r="ENA29" s="240"/>
      <c r="ENB29" s="239"/>
      <c r="ENC29" s="240"/>
      <c r="END29" s="239"/>
      <c r="ENE29" s="240"/>
      <c r="ENF29" s="239"/>
      <c r="ENG29" s="240"/>
      <c r="ENH29" s="239"/>
      <c r="ENI29" s="240"/>
      <c r="ENJ29" s="239"/>
      <c r="ENK29" s="240"/>
      <c r="ENL29" s="239"/>
      <c r="ENM29" s="240"/>
      <c r="ENN29" s="239"/>
      <c r="ENO29" s="240"/>
      <c r="ENP29" s="239"/>
      <c r="ENQ29" s="240"/>
      <c r="ENR29" s="239"/>
      <c r="ENS29" s="240"/>
      <c r="ENT29" s="239"/>
      <c r="ENU29" s="240"/>
      <c r="ENV29" s="239"/>
      <c r="ENW29" s="240"/>
      <c r="ENX29" s="239"/>
      <c r="ENY29" s="240"/>
      <c r="ENZ29" s="239"/>
      <c r="EOA29" s="240"/>
      <c r="EOB29" s="239"/>
      <c r="EOC29" s="240"/>
      <c r="EOD29" s="239"/>
      <c r="EOE29" s="240"/>
      <c r="EOF29" s="239"/>
      <c r="EOG29" s="240"/>
      <c r="EOH29" s="239"/>
      <c r="EOI29" s="240"/>
      <c r="EOJ29" s="239"/>
      <c r="EOK29" s="240"/>
      <c r="EOL29" s="239"/>
      <c r="EOM29" s="240"/>
      <c r="EON29" s="239"/>
      <c r="EOO29" s="240"/>
      <c r="EOP29" s="239"/>
      <c r="EOQ29" s="240"/>
      <c r="EOR29" s="239"/>
      <c r="EOS29" s="240"/>
      <c r="EOT29" s="239"/>
      <c r="EOU29" s="240"/>
      <c r="EOV29" s="239"/>
      <c r="EOW29" s="240"/>
      <c r="EOX29" s="239"/>
      <c r="EOY29" s="240"/>
      <c r="EOZ29" s="239"/>
      <c r="EPA29" s="240"/>
      <c r="EPB29" s="239"/>
      <c r="EPC29" s="240"/>
      <c r="EPD29" s="239"/>
      <c r="EPE29" s="240"/>
      <c r="EPF29" s="239"/>
      <c r="EPG29" s="240"/>
      <c r="EPH29" s="239"/>
      <c r="EPI29" s="240"/>
      <c r="EPJ29" s="239"/>
      <c r="EPK29" s="240"/>
      <c r="EPL29" s="239"/>
      <c r="EPM29" s="240"/>
      <c r="EPN29" s="239"/>
      <c r="EPO29" s="240"/>
      <c r="EPP29" s="239"/>
      <c r="EPQ29" s="240"/>
      <c r="EPR29" s="239"/>
      <c r="EPS29" s="240"/>
      <c r="EPT29" s="239"/>
      <c r="EPU29" s="240"/>
      <c r="EPV29" s="239"/>
      <c r="EPW29" s="240"/>
      <c r="EPX29" s="239"/>
      <c r="EPY29" s="240"/>
      <c r="EPZ29" s="239"/>
      <c r="EQA29" s="240"/>
      <c r="EQB29" s="239"/>
      <c r="EQC29" s="240"/>
      <c r="EQD29" s="239"/>
      <c r="EQE29" s="240"/>
      <c r="EQF29" s="239"/>
      <c r="EQG29" s="240"/>
      <c r="EQH29" s="239"/>
      <c r="EQI29" s="240"/>
      <c r="EQJ29" s="239"/>
      <c r="EQK29" s="240"/>
      <c r="EQL29" s="239"/>
      <c r="EQM29" s="240"/>
      <c r="EQN29" s="239"/>
      <c r="EQO29" s="240"/>
      <c r="EQP29" s="239"/>
      <c r="EQQ29" s="240"/>
      <c r="EQR29" s="239"/>
      <c r="EQS29" s="240"/>
      <c r="EQT29" s="239"/>
      <c r="EQU29" s="240"/>
      <c r="EQV29" s="239"/>
      <c r="EQW29" s="240"/>
      <c r="EQX29" s="239"/>
      <c r="EQY29" s="240"/>
      <c r="EQZ29" s="239"/>
      <c r="ERA29" s="240"/>
      <c r="ERB29" s="239"/>
      <c r="ERC29" s="240"/>
      <c r="ERD29" s="239"/>
      <c r="ERE29" s="240"/>
      <c r="ERF29" s="239"/>
      <c r="ERG29" s="240"/>
      <c r="ERH29" s="239"/>
      <c r="ERI29" s="240"/>
      <c r="ERJ29" s="239"/>
      <c r="ERK29" s="240"/>
      <c r="ERL29" s="239"/>
      <c r="ERM29" s="240"/>
      <c r="ERN29" s="239"/>
      <c r="ERO29" s="240"/>
      <c r="ERP29" s="239"/>
      <c r="ERQ29" s="240"/>
      <c r="ERR29" s="239"/>
      <c r="ERS29" s="240"/>
      <c r="ERT29" s="239"/>
      <c r="ERU29" s="240"/>
      <c r="ERV29" s="239"/>
      <c r="ERW29" s="240"/>
      <c r="ERX29" s="239"/>
      <c r="ERY29" s="240"/>
      <c r="ERZ29" s="239"/>
      <c r="ESA29" s="240"/>
      <c r="ESB29" s="239"/>
      <c r="ESC29" s="240"/>
      <c r="ESD29" s="239"/>
      <c r="ESE29" s="240"/>
      <c r="ESF29" s="239"/>
      <c r="ESG29" s="240"/>
      <c r="ESH29" s="239"/>
      <c r="ESI29" s="240"/>
      <c r="ESJ29" s="239"/>
      <c r="ESK29" s="240"/>
      <c r="ESL29" s="239"/>
      <c r="ESM29" s="240"/>
      <c r="ESN29" s="239"/>
      <c r="ESO29" s="240"/>
      <c r="ESP29" s="239"/>
      <c r="ESQ29" s="240"/>
      <c r="ESR29" s="239"/>
      <c r="ESS29" s="240"/>
      <c r="EST29" s="239"/>
      <c r="ESU29" s="240"/>
      <c r="ESV29" s="239"/>
      <c r="ESW29" s="240"/>
      <c r="ESX29" s="239"/>
      <c r="ESY29" s="240"/>
      <c r="ESZ29" s="239"/>
      <c r="ETA29" s="240"/>
      <c r="ETB29" s="239"/>
      <c r="ETC29" s="240"/>
      <c r="ETD29" s="239"/>
      <c r="ETE29" s="240"/>
      <c r="ETF29" s="239"/>
      <c r="ETG29" s="240"/>
      <c r="ETH29" s="239"/>
      <c r="ETI29" s="240"/>
      <c r="ETJ29" s="239"/>
      <c r="ETK29" s="240"/>
      <c r="ETL29" s="239"/>
      <c r="ETM29" s="240"/>
      <c r="ETN29" s="239"/>
      <c r="ETO29" s="240"/>
      <c r="ETP29" s="239"/>
      <c r="ETQ29" s="240"/>
      <c r="ETR29" s="239"/>
      <c r="ETS29" s="240"/>
      <c r="ETT29" s="239"/>
      <c r="ETU29" s="240"/>
      <c r="ETV29" s="239"/>
      <c r="ETW29" s="240"/>
      <c r="ETX29" s="239"/>
      <c r="ETY29" s="240"/>
      <c r="ETZ29" s="239"/>
      <c r="EUA29" s="240"/>
      <c r="EUB29" s="239"/>
      <c r="EUC29" s="240"/>
      <c r="EUD29" s="239"/>
      <c r="EUE29" s="240"/>
      <c r="EUF29" s="239"/>
      <c r="EUG29" s="240"/>
      <c r="EUH29" s="239"/>
      <c r="EUI29" s="240"/>
      <c r="EUJ29" s="239"/>
      <c r="EUK29" s="240"/>
      <c r="EUL29" s="239"/>
      <c r="EUM29" s="240"/>
      <c r="EUN29" s="239"/>
      <c r="EUO29" s="240"/>
      <c r="EUP29" s="239"/>
      <c r="EUQ29" s="240"/>
      <c r="EUR29" s="239"/>
      <c r="EUS29" s="240"/>
      <c r="EUT29" s="239"/>
      <c r="EUU29" s="240"/>
      <c r="EUV29" s="239"/>
      <c r="EUW29" s="240"/>
      <c r="EUX29" s="239"/>
      <c r="EUY29" s="240"/>
      <c r="EUZ29" s="239"/>
      <c r="EVA29" s="240"/>
      <c r="EVB29" s="239"/>
      <c r="EVC29" s="240"/>
      <c r="EVD29" s="239"/>
      <c r="EVE29" s="240"/>
      <c r="EVF29" s="239"/>
      <c r="EVG29" s="240"/>
      <c r="EVH29" s="239"/>
      <c r="EVI29" s="240"/>
      <c r="EVJ29" s="239"/>
      <c r="EVK29" s="240"/>
      <c r="EVL29" s="239"/>
      <c r="EVM29" s="240"/>
      <c r="EVN29" s="239"/>
      <c r="EVO29" s="240"/>
      <c r="EVP29" s="239"/>
      <c r="EVQ29" s="240"/>
      <c r="EVR29" s="239"/>
      <c r="EVS29" s="240"/>
      <c r="EVT29" s="239"/>
      <c r="EVU29" s="240"/>
      <c r="EVV29" s="239"/>
      <c r="EVW29" s="240"/>
      <c r="EVX29" s="239"/>
      <c r="EVY29" s="240"/>
      <c r="EVZ29" s="239"/>
      <c r="EWA29" s="240"/>
      <c r="EWB29" s="239"/>
      <c r="EWC29" s="240"/>
      <c r="EWD29" s="239"/>
      <c r="EWE29" s="240"/>
      <c r="EWF29" s="239"/>
      <c r="EWG29" s="240"/>
      <c r="EWH29" s="239"/>
      <c r="EWI29" s="240"/>
      <c r="EWJ29" s="239"/>
      <c r="EWK29" s="240"/>
      <c r="EWL29" s="239"/>
      <c r="EWM29" s="240"/>
      <c r="EWN29" s="239"/>
      <c r="EWO29" s="240"/>
      <c r="EWP29" s="239"/>
      <c r="EWQ29" s="240"/>
      <c r="EWR29" s="239"/>
      <c r="EWS29" s="240"/>
      <c r="EWT29" s="239"/>
      <c r="EWU29" s="240"/>
      <c r="EWV29" s="239"/>
      <c r="EWW29" s="240"/>
      <c r="EWX29" s="239"/>
      <c r="EWY29" s="240"/>
      <c r="EWZ29" s="239"/>
      <c r="EXA29" s="240"/>
      <c r="EXB29" s="239"/>
      <c r="EXC29" s="240"/>
      <c r="EXD29" s="239"/>
      <c r="EXE29" s="240"/>
      <c r="EXF29" s="239"/>
      <c r="EXG29" s="240"/>
      <c r="EXH29" s="239"/>
      <c r="EXI29" s="240"/>
      <c r="EXJ29" s="239"/>
      <c r="EXK29" s="240"/>
      <c r="EXL29" s="239"/>
      <c r="EXM29" s="240"/>
      <c r="EXN29" s="239"/>
      <c r="EXO29" s="240"/>
      <c r="EXP29" s="239"/>
      <c r="EXQ29" s="240"/>
      <c r="EXR29" s="239"/>
      <c r="EXS29" s="240"/>
      <c r="EXT29" s="239"/>
      <c r="EXU29" s="240"/>
      <c r="EXV29" s="239"/>
      <c r="EXW29" s="240"/>
      <c r="EXX29" s="239"/>
      <c r="EXY29" s="240"/>
      <c r="EXZ29" s="239"/>
      <c r="EYA29" s="240"/>
      <c r="EYB29" s="239"/>
      <c r="EYC29" s="240"/>
      <c r="EYD29" s="239"/>
      <c r="EYE29" s="240"/>
      <c r="EYF29" s="239"/>
      <c r="EYG29" s="240"/>
      <c r="EYH29" s="239"/>
      <c r="EYI29" s="240"/>
      <c r="EYJ29" s="239"/>
      <c r="EYK29" s="240"/>
      <c r="EYL29" s="239"/>
      <c r="EYM29" s="240"/>
      <c r="EYN29" s="239"/>
      <c r="EYO29" s="240"/>
      <c r="EYP29" s="239"/>
      <c r="EYQ29" s="240"/>
      <c r="EYR29" s="239"/>
      <c r="EYS29" s="240"/>
      <c r="EYT29" s="239"/>
      <c r="EYU29" s="240"/>
      <c r="EYV29" s="239"/>
      <c r="EYW29" s="240"/>
      <c r="EYX29" s="239"/>
      <c r="EYY29" s="240"/>
      <c r="EYZ29" s="239"/>
      <c r="EZA29" s="240"/>
      <c r="EZB29" s="239"/>
      <c r="EZC29" s="240"/>
      <c r="EZD29" s="239"/>
      <c r="EZE29" s="240"/>
      <c r="EZF29" s="239"/>
      <c r="EZG29" s="240"/>
      <c r="EZH29" s="239"/>
      <c r="EZI29" s="240"/>
      <c r="EZJ29" s="239"/>
      <c r="EZK29" s="240"/>
      <c r="EZL29" s="239"/>
      <c r="EZM29" s="240"/>
      <c r="EZN29" s="239"/>
      <c r="EZO29" s="240"/>
      <c r="EZP29" s="239"/>
      <c r="EZQ29" s="240"/>
      <c r="EZR29" s="239"/>
      <c r="EZS29" s="240"/>
      <c r="EZT29" s="239"/>
      <c r="EZU29" s="240"/>
      <c r="EZV29" s="239"/>
      <c r="EZW29" s="240"/>
      <c r="EZX29" s="239"/>
      <c r="EZY29" s="240"/>
      <c r="EZZ29" s="239"/>
      <c r="FAA29" s="240"/>
      <c r="FAB29" s="239"/>
      <c r="FAC29" s="240"/>
      <c r="FAD29" s="239"/>
      <c r="FAE29" s="240"/>
      <c r="FAF29" s="239"/>
      <c r="FAG29" s="240"/>
      <c r="FAH29" s="239"/>
      <c r="FAI29" s="240"/>
      <c r="FAJ29" s="239"/>
      <c r="FAK29" s="240"/>
      <c r="FAL29" s="239"/>
      <c r="FAM29" s="240"/>
      <c r="FAN29" s="239"/>
      <c r="FAO29" s="240"/>
      <c r="FAP29" s="239"/>
      <c r="FAQ29" s="240"/>
      <c r="FAR29" s="239"/>
      <c r="FAS29" s="240"/>
      <c r="FAT29" s="239"/>
      <c r="FAU29" s="240"/>
      <c r="FAV29" s="239"/>
      <c r="FAW29" s="240"/>
      <c r="FAX29" s="239"/>
      <c r="FAY29" s="240"/>
      <c r="FAZ29" s="239"/>
      <c r="FBA29" s="240"/>
      <c r="FBB29" s="239"/>
      <c r="FBC29" s="240"/>
      <c r="FBD29" s="239"/>
      <c r="FBE29" s="240"/>
      <c r="FBF29" s="239"/>
      <c r="FBG29" s="240"/>
      <c r="FBH29" s="239"/>
      <c r="FBI29" s="240"/>
      <c r="FBJ29" s="239"/>
      <c r="FBK29" s="240"/>
      <c r="FBL29" s="239"/>
      <c r="FBM29" s="240"/>
      <c r="FBN29" s="239"/>
      <c r="FBO29" s="240"/>
      <c r="FBP29" s="239"/>
      <c r="FBQ29" s="240"/>
      <c r="FBR29" s="239"/>
      <c r="FBS29" s="240"/>
      <c r="FBT29" s="239"/>
      <c r="FBU29" s="240"/>
      <c r="FBV29" s="239"/>
      <c r="FBW29" s="240"/>
      <c r="FBX29" s="239"/>
      <c r="FBY29" s="240"/>
      <c r="FBZ29" s="239"/>
      <c r="FCA29" s="240"/>
      <c r="FCB29" s="239"/>
      <c r="FCC29" s="240"/>
      <c r="FCD29" s="239"/>
      <c r="FCE29" s="240"/>
      <c r="FCF29" s="239"/>
      <c r="FCG29" s="240"/>
      <c r="FCH29" s="239"/>
      <c r="FCI29" s="240"/>
      <c r="FCJ29" s="239"/>
      <c r="FCK29" s="240"/>
      <c r="FCL29" s="239"/>
      <c r="FCM29" s="240"/>
      <c r="FCN29" s="239"/>
      <c r="FCO29" s="240"/>
      <c r="FCP29" s="239"/>
      <c r="FCQ29" s="240"/>
      <c r="FCR29" s="239"/>
      <c r="FCS29" s="240"/>
      <c r="FCT29" s="239"/>
      <c r="FCU29" s="240"/>
      <c r="FCV29" s="239"/>
      <c r="FCW29" s="240"/>
      <c r="FCX29" s="239"/>
      <c r="FCY29" s="240"/>
      <c r="FCZ29" s="239"/>
      <c r="FDA29" s="240"/>
      <c r="FDB29" s="239"/>
      <c r="FDC29" s="240"/>
      <c r="FDD29" s="239"/>
      <c r="FDE29" s="240"/>
      <c r="FDF29" s="239"/>
      <c r="FDG29" s="240"/>
      <c r="FDH29" s="239"/>
      <c r="FDI29" s="240"/>
      <c r="FDJ29" s="239"/>
      <c r="FDK29" s="240"/>
      <c r="FDL29" s="239"/>
      <c r="FDM29" s="240"/>
      <c r="FDN29" s="239"/>
      <c r="FDO29" s="240"/>
      <c r="FDP29" s="239"/>
      <c r="FDQ29" s="240"/>
      <c r="FDR29" s="239"/>
      <c r="FDS29" s="240"/>
      <c r="FDT29" s="239"/>
      <c r="FDU29" s="240"/>
      <c r="FDV29" s="239"/>
      <c r="FDW29" s="240"/>
      <c r="FDX29" s="239"/>
      <c r="FDY29" s="240"/>
      <c r="FDZ29" s="239"/>
      <c r="FEA29" s="240"/>
      <c r="FEB29" s="239"/>
      <c r="FEC29" s="240"/>
      <c r="FED29" s="239"/>
      <c r="FEE29" s="240"/>
      <c r="FEF29" s="239"/>
      <c r="FEG29" s="240"/>
      <c r="FEH29" s="239"/>
      <c r="FEI29" s="240"/>
      <c r="FEJ29" s="239"/>
      <c r="FEK29" s="240"/>
      <c r="FEL29" s="239"/>
      <c r="FEM29" s="240"/>
      <c r="FEN29" s="239"/>
      <c r="FEO29" s="240"/>
      <c r="FEP29" s="239"/>
      <c r="FEQ29" s="240"/>
      <c r="FER29" s="239"/>
      <c r="FES29" s="240"/>
      <c r="FET29" s="239"/>
      <c r="FEU29" s="240"/>
      <c r="FEV29" s="239"/>
      <c r="FEW29" s="240"/>
      <c r="FEX29" s="239"/>
      <c r="FEY29" s="240"/>
      <c r="FEZ29" s="239"/>
      <c r="FFA29" s="240"/>
      <c r="FFB29" s="239"/>
      <c r="FFC29" s="240"/>
      <c r="FFD29" s="239"/>
      <c r="FFE29" s="240"/>
      <c r="FFF29" s="239"/>
      <c r="FFG29" s="240"/>
      <c r="FFH29" s="239"/>
      <c r="FFI29" s="240"/>
      <c r="FFJ29" s="239"/>
      <c r="FFK29" s="240"/>
      <c r="FFL29" s="239"/>
      <c r="FFM29" s="240"/>
      <c r="FFN29" s="239"/>
      <c r="FFO29" s="240"/>
      <c r="FFP29" s="239"/>
      <c r="FFQ29" s="240"/>
      <c r="FFR29" s="239"/>
      <c r="FFS29" s="240"/>
      <c r="FFT29" s="239"/>
      <c r="FFU29" s="240"/>
      <c r="FFV29" s="239"/>
      <c r="FFW29" s="240"/>
      <c r="FFX29" s="239"/>
      <c r="FFY29" s="240"/>
      <c r="FFZ29" s="239"/>
      <c r="FGA29" s="240"/>
      <c r="FGB29" s="239"/>
      <c r="FGC29" s="240"/>
      <c r="FGD29" s="239"/>
      <c r="FGE29" s="240"/>
      <c r="FGF29" s="239"/>
      <c r="FGG29" s="240"/>
      <c r="FGH29" s="239"/>
      <c r="FGI29" s="240"/>
      <c r="FGJ29" s="239"/>
      <c r="FGK29" s="240"/>
      <c r="FGL29" s="239"/>
      <c r="FGM29" s="240"/>
      <c r="FGN29" s="239"/>
      <c r="FGO29" s="240"/>
      <c r="FGP29" s="239"/>
      <c r="FGQ29" s="240"/>
      <c r="FGR29" s="239"/>
      <c r="FGS29" s="240"/>
      <c r="FGT29" s="239"/>
      <c r="FGU29" s="240"/>
      <c r="FGV29" s="239"/>
      <c r="FGW29" s="240"/>
      <c r="FGX29" s="239"/>
      <c r="FGY29" s="240"/>
      <c r="FGZ29" s="239"/>
      <c r="FHA29" s="240"/>
      <c r="FHB29" s="239"/>
      <c r="FHC29" s="240"/>
      <c r="FHD29" s="239"/>
      <c r="FHE29" s="240"/>
      <c r="FHF29" s="239"/>
      <c r="FHG29" s="240"/>
      <c r="FHH29" s="239"/>
      <c r="FHI29" s="240"/>
      <c r="FHJ29" s="239"/>
      <c r="FHK29" s="240"/>
      <c r="FHL29" s="239"/>
      <c r="FHM29" s="240"/>
      <c r="FHN29" s="239"/>
      <c r="FHO29" s="240"/>
      <c r="FHP29" s="239"/>
      <c r="FHQ29" s="240"/>
      <c r="FHR29" s="239"/>
      <c r="FHS29" s="240"/>
      <c r="FHT29" s="239"/>
      <c r="FHU29" s="240"/>
      <c r="FHV29" s="239"/>
      <c r="FHW29" s="240"/>
      <c r="FHX29" s="239"/>
      <c r="FHY29" s="240"/>
      <c r="FHZ29" s="239"/>
      <c r="FIA29" s="240"/>
      <c r="FIB29" s="239"/>
      <c r="FIC29" s="240"/>
      <c r="FID29" s="239"/>
      <c r="FIE29" s="240"/>
      <c r="FIF29" s="239"/>
      <c r="FIG29" s="240"/>
      <c r="FIH29" s="239"/>
      <c r="FII29" s="240"/>
      <c r="FIJ29" s="239"/>
      <c r="FIK29" s="240"/>
      <c r="FIL29" s="239"/>
      <c r="FIM29" s="240"/>
      <c r="FIN29" s="239"/>
      <c r="FIO29" s="240"/>
      <c r="FIP29" s="239"/>
      <c r="FIQ29" s="240"/>
      <c r="FIR29" s="239"/>
      <c r="FIS29" s="240"/>
      <c r="FIT29" s="239"/>
      <c r="FIU29" s="240"/>
      <c r="FIV29" s="239"/>
      <c r="FIW29" s="240"/>
      <c r="FIX29" s="239"/>
      <c r="FIY29" s="240"/>
      <c r="FIZ29" s="239"/>
      <c r="FJA29" s="240"/>
      <c r="FJB29" s="239"/>
      <c r="FJC29" s="240"/>
      <c r="FJD29" s="239"/>
      <c r="FJE29" s="240"/>
      <c r="FJF29" s="239"/>
      <c r="FJG29" s="240"/>
      <c r="FJH29" s="239"/>
      <c r="FJI29" s="240"/>
      <c r="FJJ29" s="239"/>
      <c r="FJK29" s="240"/>
      <c r="FJL29" s="239"/>
      <c r="FJM29" s="240"/>
      <c r="FJN29" s="239"/>
      <c r="FJO29" s="240"/>
      <c r="FJP29" s="239"/>
      <c r="FJQ29" s="240"/>
      <c r="FJR29" s="239"/>
      <c r="FJS29" s="240"/>
      <c r="FJT29" s="239"/>
      <c r="FJU29" s="240"/>
      <c r="FJV29" s="239"/>
      <c r="FJW29" s="240"/>
      <c r="FJX29" s="239"/>
      <c r="FJY29" s="240"/>
      <c r="FJZ29" s="239"/>
      <c r="FKA29" s="240"/>
      <c r="FKB29" s="239"/>
      <c r="FKC29" s="240"/>
      <c r="FKD29" s="239"/>
      <c r="FKE29" s="240"/>
      <c r="FKF29" s="239"/>
      <c r="FKG29" s="240"/>
      <c r="FKH29" s="239"/>
      <c r="FKI29" s="240"/>
      <c r="FKJ29" s="239"/>
      <c r="FKK29" s="240"/>
      <c r="FKL29" s="239"/>
      <c r="FKM29" s="240"/>
      <c r="FKN29" s="239"/>
      <c r="FKO29" s="240"/>
      <c r="FKP29" s="239"/>
      <c r="FKQ29" s="240"/>
      <c r="FKR29" s="239"/>
      <c r="FKS29" s="240"/>
      <c r="FKT29" s="239"/>
      <c r="FKU29" s="240"/>
      <c r="FKV29" s="239"/>
      <c r="FKW29" s="240"/>
      <c r="FKX29" s="239"/>
      <c r="FKY29" s="240"/>
      <c r="FKZ29" s="239"/>
      <c r="FLA29" s="240"/>
      <c r="FLB29" s="239"/>
      <c r="FLC29" s="240"/>
      <c r="FLD29" s="239"/>
      <c r="FLE29" s="240"/>
      <c r="FLF29" s="239"/>
      <c r="FLG29" s="240"/>
      <c r="FLH29" s="239"/>
      <c r="FLI29" s="240"/>
      <c r="FLJ29" s="239"/>
      <c r="FLK29" s="240"/>
      <c r="FLL29" s="239"/>
      <c r="FLM29" s="240"/>
      <c r="FLN29" s="239"/>
      <c r="FLO29" s="240"/>
      <c r="FLP29" s="239"/>
      <c r="FLQ29" s="240"/>
      <c r="FLR29" s="239"/>
      <c r="FLS29" s="240"/>
      <c r="FLT29" s="239"/>
      <c r="FLU29" s="240"/>
      <c r="FLV29" s="239"/>
      <c r="FLW29" s="240"/>
      <c r="FLX29" s="239"/>
      <c r="FLY29" s="240"/>
      <c r="FLZ29" s="239"/>
      <c r="FMA29" s="240"/>
      <c r="FMB29" s="239"/>
      <c r="FMC29" s="240"/>
      <c r="FMD29" s="239"/>
      <c r="FME29" s="240"/>
      <c r="FMF29" s="239"/>
      <c r="FMG29" s="240"/>
      <c r="FMH29" s="239"/>
      <c r="FMI29" s="240"/>
      <c r="FMJ29" s="239"/>
      <c r="FMK29" s="240"/>
      <c r="FML29" s="239"/>
      <c r="FMM29" s="240"/>
      <c r="FMN29" s="239"/>
      <c r="FMO29" s="240"/>
      <c r="FMP29" s="239"/>
      <c r="FMQ29" s="240"/>
      <c r="FMR29" s="239"/>
      <c r="FMS29" s="240"/>
      <c r="FMT29" s="239"/>
      <c r="FMU29" s="240"/>
      <c r="FMV29" s="239"/>
      <c r="FMW29" s="240"/>
      <c r="FMX29" s="239"/>
      <c r="FMY29" s="240"/>
      <c r="FMZ29" s="239"/>
      <c r="FNA29" s="240"/>
      <c r="FNB29" s="239"/>
      <c r="FNC29" s="240"/>
      <c r="FND29" s="239"/>
      <c r="FNE29" s="240"/>
      <c r="FNF29" s="239"/>
      <c r="FNG29" s="240"/>
      <c r="FNH29" s="239"/>
      <c r="FNI29" s="240"/>
      <c r="FNJ29" s="239"/>
      <c r="FNK29" s="240"/>
      <c r="FNL29" s="239"/>
      <c r="FNM29" s="240"/>
      <c r="FNN29" s="239"/>
      <c r="FNO29" s="240"/>
      <c r="FNP29" s="239"/>
      <c r="FNQ29" s="240"/>
      <c r="FNR29" s="239"/>
      <c r="FNS29" s="240"/>
      <c r="FNT29" s="239"/>
      <c r="FNU29" s="240"/>
      <c r="FNV29" s="239"/>
      <c r="FNW29" s="240"/>
      <c r="FNX29" s="239"/>
      <c r="FNY29" s="240"/>
      <c r="FNZ29" s="239"/>
      <c r="FOA29" s="240"/>
      <c r="FOB29" s="239"/>
      <c r="FOC29" s="240"/>
      <c r="FOD29" s="239"/>
      <c r="FOE29" s="240"/>
      <c r="FOF29" s="239"/>
      <c r="FOG29" s="240"/>
      <c r="FOH29" s="239"/>
      <c r="FOI29" s="240"/>
      <c r="FOJ29" s="239"/>
      <c r="FOK29" s="240"/>
      <c r="FOL29" s="239"/>
      <c r="FOM29" s="240"/>
      <c r="FON29" s="239"/>
      <c r="FOO29" s="240"/>
      <c r="FOP29" s="239"/>
      <c r="FOQ29" s="240"/>
      <c r="FOR29" s="239"/>
      <c r="FOS29" s="240"/>
      <c r="FOT29" s="239"/>
      <c r="FOU29" s="240"/>
      <c r="FOV29" s="239"/>
      <c r="FOW29" s="240"/>
      <c r="FOX29" s="239"/>
      <c r="FOY29" s="240"/>
      <c r="FOZ29" s="239"/>
      <c r="FPA29" s="240"/>
      <c r="FPB29" s="239"/>
      <c r="FPC29" s="240"/>
      <c r="FPD29" s="239"/>
      <c r="FPE29" s="240"/>
      <c r="FPF29" s="239"/>
      <c r="FPG29" s="240"/>
      <c r="FPH29" s="239"/>
      <c r="FPI29" s="240"/>
      <c r="FPJ29" s="239"/>
      <c r="FPK29" s="240"/>
      <c r="FPL29" s="239"/>
      <c r="FPM29" s="240"/>
      <c r="FPN29" s="239"/>
      <c r="FPO29" s="240"/>
      <c r="FPP29" s="239"/>
      <c r="FPQ29" s="240"/>
      <c r="FPR29" s="239"/>
      <c r="FPS29" s="240"/>
      <c r="FPT29" s="239"/>
      <c r="FPU29" s="240"/>
      <c r="FPV29" s="239"/>
      <c r="FPW29" s="240"/>
      <c r="FPX29" s="239"/>
      <c r="FPY29" s="240"/>
      <c r="FPZ29" s="239"/>
      <c r="FQA29" s="240"/>
      <c r="FQB29" s="239"/>
      <c r="FQC29" s="240"/>
      <c r="FQD29" s="239"/>
      <c r="FQE29" s="240"/>
      <c r="FQF29" s="239"/>
      <c r="FQG29" s="240"/>
      <c r="FQH29" s="239"/>
      <c r="FQI29" s="240"/>
      <c r="FQJ29" s="239"/>
      <c r="FQK29" s="240"/>
      <c r="FQL29" s="239"/>
      <c r="FQM29" s="240"/>
      <c r="FQN29" s="239"/>
      <c r="FQO29" s="240"/>
      <c r="FQP29" s="239"/>
      <c r="FQQ29" s="240"/>
      <c r="FQR29" s="239"/>
      <c r="FQS29" s="240"/>
      <c r="FQT29" s="239"/>
      <c r="FQU29" s="240"/>
      <c r="FQV29" s="239"/>
      <c r="FQW29" s="240"/>
      <c r="FQX29" s="239"/>
      <c r="FQY29" s="240"/>
      <c r="FQZ29" s="239"/>
      <c r="FRA29" s="240"/>
      <c r="FRB29" s="239"/>
      <c r="FRC29" s="240"/>
      <c r="FRD29" s="239"/>
      <c r="FRE29" s="240"/>
      <c r="FRF29" s="239"/>
      <c r="FRG29" s="240"/>
      <c r="FRH29" s="239"/>
      <c r="FRI29" s="240"/>
      <c r="FRJ29" s="239"/>
      <c r="FRK29" s="240"/>
      <c r="FRL29" s="239"/>
      <c r="FRM29" s="240"/>
      <c r="FRN29" s="239"/>
      <c r="FRO29" s="240"/>
      <c r="FRP29" s="239"/>
      <c r="FRQ29" s="240"/>
      <c r="FRR29" s="239"/>
      <c r="FRS29" s="240"/>
      <c r="FRT29" s="239"/>
      <c r="FRU29" s="240"/>
      <c r="FRV29" s="239"/>
      <c r="FRW29" s="240"/>
      <c r="FRX29" s="239"/>
      <c r="FRY29" s="240"/>
      <c r="FRZ29" s="239"/>
      <c r="FSA29" s="240"/>
      <c r="FSB29" s="239"/>
      <c r="FSC29" s="240"/>
      <c r="FSD29" s="239"/>
      <c r="FSE29" s="240"/>
      <c r="FSF29" s="239"/>
      <c r="FSG29" s="240"/>
      <c r="FSH29" s="239"/>
      <c r="FSI29" s="240"/>
      <c r="FSJ29" s="239"/>
      <c r="FSK29" s="240"/>
      <c r="FSL29" s="239"/>
      <c r="FSM29" s="240"/>
      <c r="FSN29" s="239"/>
      <c r="FSO29" s="240"/>
      <c r="FSP29" s="239"/>
      <c r="FSQ29" s="240"/>
      <c r="FSR29" s="239"/>
      <c r="FSS29" s="240"/>
      <c r="FST29" s="239"/>
      <c r="FSU29" s="240"/>
      <c r="FSV29" s="239"/>
      <c r="FSW29" s="240"/>
      <c r="FSX29" s="239"/>
      <c r="FSY29" s="240"/>
      <c r="FSZ29" s="239"/>
      <c r="FTA29" s="240"/>
      <c r="FTB29" s="239"/>
      <c r="FTC29" s="240"/>
      <c r="FTD29" s="239"/>
      <c r="FTE29" s="240"/>
      <c r="FTF29" s="239"/>
      <c r="FTG29" s="240"/>
      <c r="FTH29" s="239"/>
      <c r="FTI29" s="240"/>
      <c r="FTJ29" s="239"/>
      <c r="FTK29" s="240"/>
      <c r="FTL29" s="239"/>
      <c r="FTM29" s="240"/>
      <c r="FTN29" s="239"/>
      <c r="FTO29" s="240"/>
      <c r="FTP29" s="239"/>
      <c r="FTQ29" s="240"/>
      <c r="FTR29" s="239"/>
      <c r="FTS29" s="240"/>
      <c r="FTT29" s="239"/>
      <c r="FTU29" s="240"/>
      <c r="FTV29" s="239"/>
      <c r="FTW29" s="240"/>
      <c r="FTX29" s="239"/>
      <c r="FTY29" s="240"/>
      <c r="FTZ29" s="239"/>
      <c r="FUA29" s="240"/>
      <c r="FUB29" s="239"/>
      <c r="FUC29" s="240"/>
      <c r="FUD29" s="239"/>
      <c r="FUE29" s="240"/>
      <c r="FUF29" s="239"/>
      <c r="FUG29" s="240"/>
      <c r="FUH29" s="239"/>
      <c r="FUI29" s="240"/>
      <c r="FUJ29" s="239"/>
      <c r="FUK29" s="240"/>
      <c r="FUL29" s="239"/>
      <c r="FUM29" s="240"/>
      <c r="FUN29" s="239"/>
      <c r="FUO29" s="240"/>
      <c r="FUP29" s="239"/>
      <c r="FUQ29" s="240"/>
      <c r="FUR29" s="239"/>
      <c r="FUS29" s="240"/>
      <c r="FUT29" s="239"/>
      <c r="FUU29" s="240"/>
      <c r="FUV29" s="239"/>
      <c r="FUW29" s="240"/>
      <c r="FUX29" s="239"/>
      <c r="FUY29" s="240"/>
      <c r="FUZ29" s="239"/>
      <c r="FVA29" s="240"/>
      <c r="FVB29" s="239"/>
      <c r="FVC29" s="240"/>
      <c r="FVD29" s="239"/>
      <c r="FVE29" s="240"/>
      <c r="FVF29" s="239"/>
      <c r="FVG29" s="240"/>
      <c r="FVH29" s="239"/>
      <c r="FVI29" s="240"/>
      <c r="FVJ29" s="239"/>
      <c r="FVK29" s="240"/>
      <c r="FVL29" s="239"/>
      <c r="FVM29" s="240"/>
      <c r="FVN29" s="239"/>
      <c r="FVO29" s="240"/>
      <c r="FVP29" s="239"/>
      <c r="FVQ29" s="240"/>
      <c r="FVR29" s="239"/>
      <c r="FVS29" s="240"/>
      <c r="FVT29" s="239"/>
      <c r="FVU29" s="240"/>
      <c r="FVV29" s="239"/>
      <c r="FVW29" s="240"/>
      <c r="FVX29" s="239"/>
      <c r="FVY29" s="240"/>
      <c r="FVZ29" s="239"/>
      <c r="FWA29" s="240"/>
      <c r="FWB29" s="239"/>
      <c r="FWC29" s="240"/>
      <c r="FWD29" s="239"/>
      <c r="FWE29" s="240"/>
      <c r="FWF29" s="239"/>
      <c r="FWG29" s="240"/>
      <c r="FWH29" s="239"/>
      <c r="FWI29" s="240"/>
      <c r="FWJ29" s="239"/>
      <c r="FWK29" s="240"/>
      <c r="FWL29" s="239"/>
      <c r="FWM29" s="240"/>
      <c r="FWN29" s="239"/>
      <c r="FWO29" s="240"/>
      <c r="FWP29" s="239"/>
      <c r="FWQ29" s="240"/>
      <c r="FWR29" s="239"/>
      <c r="FWS29" s="240"/>
      <c r="FWT29" s="239"/>
      <c r="FWU29" s="240"/>
      <c r="FWV29" s="239"/>
      <c r="FWW29" s="240"/>
      <c r="FWX29" s="239"/>
      <c r="FWY29" s="240"/>
      <c r="FWZ29" s="239"/>
      <c r="FXA29" s="240"/>
      <c r="FXB29" s="239"/>
      <c r="FXC29" s="240"/>
      <c r="FXD29" s="239"/>
      <c r="FXE29" s="240"/>
      <c r="FXF29" s="239"/>
      <c r="FXG29" s="240"/>
      <c r="FXH29" s="239"/>
      <c r="FXI29" s="240"/>
      <c r="FXJ29" s="239"/>
      <c r="FXK29" s="240"/>
      <c r="FXL29" s="239"/>
      <c r="FXM29" s="240"/>
      <c r="FXN29" s="239"/>
      <c r="FXO29" s="240"/>
      <c r="FXP29" s="239"/>
      <c r="FXQ29" s="240"/>
      <c r="FXR29" s="239"/>
      <c r="FXS29" s="240"/>
      <c r="FXT29" s="239"/>
      <c r="FXU29" s="240"/>
      <c r="FXV29" s="239"/>
      <c r="FXW29" s="240"/>
      <c r="FXX29" s="239"/>
      <c r="FXY29" s="240"/>
      <c r="FXZ29" s="239"/>
      <c r="FYA29" s="240"/>
      <c r="FYB29" s="239"/>
      <c r="FYC29" s="240"/>
      <c r="FYD29" s="239"/>
      <c r="FYE29" s="240"/>
      <c r="FYF29" s="239"/>
      <c r="FYG29" s="240"/>
      <c r="FYH29" s="239"/>
      <c r="FYI29" s="240"/>
      <c r="FYJ29" s="239"/>
      <c r="FYK29" s="240"/>
      <c r="FYL29" s="239"/>
      <c r="FYM29" s="240"/>
      <c r="FYN29" s="239"/>
      <c r="FYO29" s="240"/>
      <c r="FYP29" s="239"/>
      <c r="FYQ29" s="240"/>
      <c r="FYR29" s="239"/>
      <c r="FYS29" s="240"/>
      <c r="FYT29" s="239"/>
      <c r="FYU29" s="240"/>
      <c r="FYV29" s="239"/>
      <c r="FYW29" s="240"/>
      <c r="FYX29" s="239"/>
      <c r="FYY29" s="240"/>
      <c r="FYZ29" s="239"/>
      <c r="FZA29" s="240"/>
      <c r="FZB29" s="239"/>
      <c r="FZC29" s="240"/>
      <c r="FZD29" s="239"/>
      <c r="FZE29" s="240"/>
      <c r="FZF29" s="239"/>
      <c r="FZG29" s="240"/>
      <c r="FZH29" s="239"/>
      <c r="FZI29" s="240"/>
      <c r="FZJ29" s="239"/>
      <c r="FZK29" s="240"/>
      <c r="FZL29" s="239"/>
      <c r="FZM29" s="240"/>
      <c r="FZN29" s="239"/>
      <c r="FZO29" s="240"/>
      <c r="FZP29" s="239"/>
      <c r="FZQ29" s="240"/>
      <c r="FZR29" s="239"/>
      <c r="FZS29" s="240"/>
      <c r="FZT29" s="239"/>
      <c r="FZU29" s="240"/>
      <c r="FZV29" s="239"/>
      <c r="FZW29" s="240"/>
      <c r="FZX29" s="239"/>
      <c r="FZY29" s="240"/>
      <c r="FZZ29" s="239"/>
      <c r="GAA29" s="240"/>
      <c r="GAB29" s="239"/>
      <c r="GAC29" s="240"/>
      <c r="GAD29" s="239"/>
      <c r="GAE29" s="240"/>
      <c r="GAF29" s="239"/>
      <c r="GAG29" s="240"/>
      <c r="GAH29" s="239"/>
      <c r="GAI29" s="240"/>
      <c r="GAJ29" s="239"/>
      <c r="GAK29" s="240"/>
      <c r="GAL29" s="239"/>
      <c r="GAM29" s="240"/>
      <c r="GAN29" s="239"/>
      <c r="GAO29" s="240"/>
      <c r="GAP29" s="239"/>
      <c r="GAQ29" s="240"/>
      <c r="GAR29" s="239"/>
      <c r="GAS29" s="240"/>
      <c r="GAT29" s="239"/>
      <c r="GAU29" s="240"/>
      <c r="GAV29" s="239"/>
      <c r="GAW29" s="240"/>
      <c r="GAX29" s="239"/>
      <c r="GAY29" s="240"/>
      <c r="GAZ29" s="239"/>
      <c r="GBA29" s="240"/>
      <c r="GBB29" s="239"/>
      <c r="GBC29" s="240"/>
      <c r="GBD29" s="239"/>
      <c r="GBE29" s="240"/>
      <c r="GBF29" s="239"/>
      <c r="GBG29" s="240"/>
      <c r="GBH29" s="239"/>
      <c r="GBI29" s="240"/>
      <c r="GBJ29" s="239"/>
      <c r="GBK29" s="240"/>
      <c r="GBL29" s="239"/>
      <c r="GBM29" s="240"/>
      <c r="GBN29" s="239"/>
      <c r="GBO29" s="240"/>
      <c r="GBP29" s="239"/>
      <c r="GBQ29" s="240"/>
      <c r="GBR29" s="239"/>
      <c r="GBS29" s="240"/>
      <c r="GBT29" s="239"/>
      <c r="GBU29" s="240"/>
      <c r="GBV29" s="239"/>
      <c r="GBW29" s="240"/>
      <c r="GBX29" s="239"/>
      <c r="GBY29" s="240"/>
      <c r="GBZ29" s="239"/>
      <c r="GCA29" s="240"/>
      <c r="GCB29" s="239"/>
      <c r="GCC29" s="240"/>
      <c r="GCD29" s="239"/>
      <c r="GCE29" s="240"/>
      <c r="GCF29" s="239"/>
      <c r="GCG29" s="240"/>
      <c r="GCH29" s="239"/>
      <c r="GCI29" s="240"/>
      <c r="GCJ29" s="239"/>
      <c r="GCK29" s="240"/>
      <c r="GCL29" s="239"/>
      <c r="GCM29" s="240"/>
      <c r="GCN29" s="239"/>
      <c r="GCO29" s="240"/>
      <c r="GCP29" s="239"/>
      <c r="GCQ29" s="240"/>
      <c r="GCR29" s="239"/>
      <c r="GCS29" s="240"/>
      <c r="GCT29" s="239"/>
      <c r="GCU29" s="240"/>
      <c r="GCV29" s="239"/>
      <c r="GCW29" s="240"/>
      <c r="GCX29" s="239"/>
      <c r="GCY29" s="240"/>
      <c r="GCZ29" s="239"/>
      <c r="GDA29" s="240"/>
      <c r="GDB29" s="239"/>
      <c r="GDC29" s="240"/>
      <c r="GDD29" s="239"/>
      <c r="GDE29" s="240"/>
      <c r="GDF29" s="239"/>
      <c r="GDG29" s="240"/>
      <c r="GDH29" s="239"/>
      <c r="GDI29" s="240"/>
      <c r="GDJ29" s="239"/>
      <c r="GDK29" s="240"/>
      <c r="GDL29" s="239"/>
      <c r="GDM29" s="240"/>
      <c r="GDN29" s="239"/>
      <c r="GDO29" s="240"/>
      <c r="GDP29" s="239"/>
      <c r="GDQ29" s="240"/>
      <c r="GDR29" s="239"/>
      <c r="GDS29" s="240"/>
      <c r="GDT29" s="239"/>
      <c r="GDU29" s="240"/>
      <c r="GDV29" s="239"/>
      <c r="GDW29" s="240"/>
      <c r="GDX29" s="239"/>
      <c r="GDY29" s="240"/>
      <c r="GDZ29" s="239"/>
      <c r="GEA29" s="240"/>
      <c r="GEB29" s="239"/>
      <c r="GEC29" s="240"/>
      <c r="GED29" s="239"/>
      <c r="GEE29" s="240"/>
      <c r="GEF29" s="239"/>
      <c r="GEG29" s="240"/>
      <c r="GEH29" s="239"/>
      <c r="GEI29" s="240"/>
      <c r="GEJ29" s="239"/>
      <c r="GEK29" s="240"/>
      <c r="GEL29" s="239"/>
      <c r="GEM29" s="240"/>
      <c r="GEN29" s="239"/>
      <c r="GEO29" s="240"/>
      <c r="GEP29" s="239"/>
      <c r="GEQ29" s="240"/>
      <c r="GER29" s="239"/>
      <c r="GES29" s="240"/>
      <c r="GET29" s="239"/>
      <c r="GEU29" s="240"/>
      <c r="GEV29" s="239"/>
      <c r="GEW29" s="240"/>
      <c r="GEX29" s="239"/>
      <c r="GEY29" s="240"/>
      <c r="GEZ29" s="239"/>
      <c r="GFA29" s="240"/>
      <c r="GFB29" s="239"/>
      <c r="GFC29" s="240"/>
      <c r="GFD29" s="239"/>
      <c r="GFE29" s="240"/>
      <c r="GFF29" s="239"/>
      <c r="GFG29" s="240"/>
      <c r="GFH29" s="239"/>
      <c r="GFI29" s="240"/>
      <c r="GFJ29" s="239"/>
      <c r="GFK29" s="240"/>
      <c r="GFL29" s="239"/>
      <c r="GFM29" s="240"/>
      <c r="GFN29" s="239"/>
      <c r="GFO29" s="240"/>
      <c r="GFP29" s="239"/>
      <c r="GFQ29" s="240"/>
      <c r="GFR29" s="239"/>
      <c r="GFS29" s="240"/>
      <c r="GFT29" s="239"/>
      <c r="GFU29" s="240"/>
      <c r="GFV29" s="239"/>
      <c r="GFW29" s="240"/>
      <c r="GFX29" s="239"/>
      <c r="GFY29" s="240"/>
      <c r="GFZ29" s="239"/>
      <c r="GGA29" s="240"/>
      <c r="GGB29" s="239"/>
      <c r="GGC29" s="240"/>
      <c r="GGD29" s="239"/>
      <c r="GGE29" s="240"/>
      <c r="GGF29" s="239"/>
      <c r="GGG29" s="240"/>
      <c r="GGH29" s="239"/>
      <c r="GGI29" s="240"/>
      <c r="GGJ29" s="239"/>
      <c r="GGK29" s="240"/>
      <c r="GGL29" s="239"/>
      <c r="GGM29" s="240"/>
      <c r="GGN29" s="239"/>
      <c r="GGO29" s="240"/>
      <c r="GGP29" s="239"/>
      <c r="GGQ29" s="240"/>
      <c r="GGR29" s="239"/>
      <c r="GGS29" s="240"/>
      <c r="GGT29" s="239"/>
      <c r="GGU29" s="240"/>
      <c r="GGV29" s="239"/>
      <c r="GGW29" s="240"/>
      <c r="GGX29" s="239"/>
      <c r="GGY29" s="240"/>
      <c r="GGZ29" s="239"/>
      <c r="GHA29" s="240"/>
      <c r="GHB29" s="239"/>
      <c r="GHC29" s="240"/>
      <c r="GHD29" s="239"/>
      <c r="GHE29" s="240"/>
      <c r="GHF29" s="239"/>
      <c r="GHG29" s="240"/>
      <c r="GHH29" s="239"/>
      <c r="GHI29" s="240"/>
      <c r="GHJ29" s="239"/>
      <c r="GHK29" s="240"/>
      <c r="GHL29" s="239"/>
      <c r="GHM29" s="240"/>
      <c r="GHN29" s="239"/>
      <c r="GHO29" s="240"/>
      <c r="GHP29" s="239"/>
      <c r="GHQ29" s="240"/>
      <c r="GHR29" s="239"/>
      <c r="GHS29" s="240"/>
      <c r="GHT29" s="239"/>
      <c r="GHU29" s="240"/>
      <c r="GHV29" s="239"/>
      <c r="GHW29" s="240"/>
      <c r="GHX29" s="239"/>
      <c r="GHY29" s="240"/>
      <c r="GHZ29" s="239"/>
      <c r="GIA29" s="240"/>
      <c r="GIB29" s="239"/>
      <c r="GIC29" s="240"/>
      <c r="GID29" s="239"/>
      <c r="GIE29" s="240"/>
      <c r="GIF29" s="239"/>
      <c r="GIG29" s="240"/>
      <c r="GIH29" s="239"/>
      <c r="GII29" s="240"/>
      <c r="GIJ29" s="239"/>
      <c r="GIK29" s="240"/>
      <c r="GIL29" s="239"/>
      <c r="GIM29" s="240"/>
      <c r="GIN29" s="239"/>
      <c r="GIO29" s="240"/>
      <c r="GIP29" s="239"/>
      <c r="GIQ29" s="240"/>
      <c r="GIR29" s="239"/>
      <c r="GIS29" s="240"/>
      <c r="GIT29" s="239"/>
      <c r="GIU29" s="240"/>
      <c r="GIV29" s="239"/>
      <c r="GIW29" s="240"/>
      <c r="GIX29" s="239"/>
      <c r="GIY29" s="240"/>
      <c r="GIZ29" s="239"/>
      <c r="GJA29" s="240"/>
      <c r="GJB29" s="239"/>
      <c r="GJC29" s="240"/>
      <c r="GJD29" s="239"/>
      <c r="GJE29" s="240"/>
      <c r="GJF29" s="239"/>
      <c r="GJG29" s="240"/>
      <c r="GJH29" s="239"/>
      <c r="GJI29" s="240"/>
      <c r="GJJ29" s="239"/>
      <c r="GJK29" s="240"/>
      <c r="GJL29" s="239"/>
      <c r="GJM29" s="240"/>
      <c r="GJN29" s="239"/>
      <c r="GJO29" s="240"/>
      <c r="GJP29" s="239"/>
      <c r="GJQ29" s="240"/>
      <c r="GJR29" s="239"/>
      <c r="GJS29" s="240"/>
      <c r="GJT29" s="239"/>
      <c r="GJU29" s="240"/>
      <c r="GJV29" s="239"/>
      <c r="GJW29" s="240"/>
      <c r="GJX29" s="239"/>
      <c r="GJY29" s="240"/>
      <c r="GJZ29" s="239"/>
      <c r="GKA29" s="240"/>
      <c r="GKB29" s="239"/>
      <c r="GKC29" s="240"/>
      <c r="GKD29" s="239"/>
      <c r="GKE29" s="240"/>
      <c r="GKF29" s="239"/>
      <c r="GKG29" s="240"/>
      <c r="GKH29" s="239"/>
      <c r="GKI29" s="240"/>
      <c r="GKJ29" s="239"/>
      <c r="GKK29" s="240"/>
      <c r="GKL29" s="239"/>
      <c r="GKM29" s="240"/>
      <c r="GKN29" s="239"/>
      <c r="GKO29" s="240"/>
      <c r="GKP29" s="239"/>
      <c r="GKQ29" s="240"/>
      <c r="GKR29" s="239"/>
      <c r="GKS29" s="240"/>
      <c r="GKT29" s="239"/>
      <c r="GKU29" s="240"/>
      <c r="GKV29" s="239"/>
      <c r="GKW29" s="240"/>
      <c r="GKX29" s="239"/>
      <c r="GKY29" s="240"/>
      <c r="GKZ29" s="239"/>
      <c r="GLA29" s="240"/>
      <c r="GLB29" s="239"/>
      <c r="GLC29" s="240"/>
      <c r="GLD29" s="239"/>
      <c r="GLE29" s="240"/>
      <c r="GLF29" s="239"/>
      <c r="GLG29" s="240"/>
      <c r="GLH29" s="239"/>
      <c r="GLI29" s="240"/>
      <c r="GLJ29" s="239"/>
      <c r="GLK29" s="240"/>
      <c r="GLL29" s="239"/>
      <c r="GLM29" s="240"/>
      <c r="GLN29" s="239"/>
      <c r="GLO29" s="240"/>
      <c r="GLP29" s="239"/>
      <c r="GLQ29" s="240"/>
      <c r="GLR29" s="239"/>
      <c r="GLS29" s="240"/>
      <c r="GLT29" s="239"/>
      <c r="GLU29" s="240"/>
      <c r="GLV29" s="239"/>
      <c r="GLW29" s="240"/>
      <c r="GLX29" s="239"/>
      <c r="GLY29" s="240"/>
      <c r="GLZ29" s="239"/>
      <c r="GMA29" s="240"/>
      <c r="GMB29" s="239"/>
      <c r="GMC29" s="240"/>
      <c r="GMD29" s="239"/>
      <c r="GME29" s="240"/>
      <c r="GMF29" s="239"/>
      <c r="GMG29" s="240"/>
      <c r="GMH29" s="239"/>
      <c r="GMI29" s="240"/>
      <c r="GMJ29" s="239"/>
      <c r="GMK29" s="240"/>
      <c r="GML29" s="239"/>
      <c r="GMM29" s="240"/>
      <c r="GMN29" s="239"/>
      <c r="GMO29" s="240"/>
      <c r="GMP29" s="239"/>
      <c r="GMQ29" s="240"/>
      <c r="GMR29" s="239"/>
      <c r="GMS29" s="240"/>
      <c r="GMT29" s="239"/>
      <c r="GMU29" s="240"/>
      <c r="GMV29" s="239"/>
      <c r="GMW29" s="240"/>
      <c r="GMX29" s="239"/>
      <c r="GMY29" s="240"/>
      <c r="GMZ29" s="239"/>
      <c r="GNA29" s="240"/>
      <c r="GNB29" s="239"/>
      <c r="GNC29" s="240"/>
      <c r="GND29" s="239"/>
      <c r="GNE29" s="240"/>
      <c r="GNF29" s="239"/>
      <c r="GNG29" s="240"/>
      <c r="GNH29" s="239"/>
      <c r="GNI29" s="240"/>
      <c r="GNJ29" s="239"/>
      <c r="GNK29" s="240"/>
      <c r="GNL29" s="239"/>
      <c r="GNM29" s="240"/>
      <c r="GNN29" s="239"/>
      <c r="GNO29" s="240"/>
      <c r="GNP29" s="239"/>
      <c r="GNQ29" s="240"/>
      <c r="GNR29" s="239"/>
      <c r="GNS29" s="240"/>
      <c r="GNT29" s="239"/>
      <c r="GNU29" s="240"/>
      <c r="GNV29" s="239"/>
      <c r="GNW29" s="240"/>
      <c r="GNX29" s="239"/>
      <c r="GNY29" s="240"/>
      <c r="GNZ29" s="239"/>
      <c r="GOA29" s="240"/>
      <c r="GOB29" s="239"/>
      <c r="GOC29" s="240"/>
      <c r="GOD29" s="239"/>
      <c r="GOE29" s="240"/>
      <c r="GOF29" s="239"/>
      <c r="GOG29" s="240"/>
      <c r="GOH29" s="239"/>
      <c r="GOI29" s="240"/>
      <c r="GOJ29" s="239"/>
      <c r="GOK29" s="240"/>
      <c r="GOL29" s="239"/>
      <c r="GOM29" s="240"/>
      <c r="GON29" s="239"/>
      <c r="GOO29" s="240"/>
      <c r="GOP29" s="239"/>
      <c r="GOQ29" s="240"/>
      <c r="GOR29" s="239"/>
      <c r="GOS29" s="240"/>
      <c r="GOT29" s="239"/>
      <c r="GOU29" s="240"/>
      <c r="GOV29" s="239"/>
      <c r="GOW29" s="240"/>
      <c r="GOX29" s="239"/>
      <c r="GOY29" s="240"/>
      <c r="GOZ29" s="239"/>
      <c r="GPA29" s="240"/>
      <c r="GPB29" s="239"/>
      <c r="GPC29" s="240"/>
      <c r="GPD29" s="239"/>
      <c r="GPE29" s="240"/>
      <c r="GPF29" s="239"/>
      <c r="GPG29" s="240"/>
      <c r="GPH29" s="239"/>
      <c r="GPI29" s="240"/>
      <c r="GPJ29" s="239"/>
      <c r="GPK29" s="240"/>
      <c r="GPL29" s="239"/>
      <c r="GPM29" s="240"/>
      <c r="GPN29" s="239"/>
      <c r="GPO29" s="240"/>
      <c r="GPP29" s="239"/>
      <c r="GPQ29" s="240"/>
      <c r="GPR29" s="239"/>
      <c r="GPS29" s="240"/>
      <c r="GPT29" s="239"/>
      <c r="GPU29" s="240"/>
      <c r="GPV29" s="239"/>
      <c r="GPW29" s="240"/>
      <c r="GPX29" s="239"/>
      <c r="GPY29" s="240"/>
      <c r="GPZ29" s="239"/>
      <c r="GQA29" s="240"/>
      <c r="GQB29" s="239"/>
      <c r="GQC29" s="240"/>
      <c r="GQD29" s="239"/>
      <c r="GQE29" s="240"/>
      <c r="GQF29" s="239"/>
      <c r="GQG29" s="240"/>
      <c r="GQH29" s="239"/>
      <c r="GQI29" s="240"/>
      <c r="GQJ29" s="239"/>
      <c r="GQK29" s="240"/>
      <c r="GQL29" s="239"/>
      <c r="GQM29" s="240"/>
      <c r="GQN29" s="239"/>
      <c r="GQO29" s="240"/>
      <c r="GQP29" s="239"/>
      <c r="GQQ29" s="240"/>
      <c r="GQR29" s="239"/>
      <c r="GQS29" s="240"/>
      <c r="GQT29" s="239"/>
      <c r="GQU29" s="240"/>
      <c r="GQV29" s="239"/>
      <c r="GQW29" s="240"/>
      <c r="GQX29" s="239"/>
      <c r="GQY29" s="240"/>
      <c r="GQZ29" s="239"/>
      <c r="GRA29" s="240"/>
      <c r="GRB29" s="239"/>
      <c r="GRC29" s="240"/>
      <c r="GRD29" s="239"/>
      <c r="GRE29" s="240"/>
      <c r="GRF29" s="239"/>
      <c r="GRG29" s="240"/>
      <c r="GRH29" s="239"/>
      <c r="GRI29" s="240"/>
      <c r="GRJ29" s="239"/>
      <c r="GRK29" s="240"/>
      <c r="GRL29" s="239"/>
      <c r="GRM29" s="240"/>
      <c r="GRN29" s="239"/>
      <c r="GRO29" s="240"/>
      <c r="GRP29" s="239"/>
      <c r="GRQ29" s="240"/>
      <c r="GRR29" s="239"/>
      <c r="GRS29" s="240"/>
      <c r="GRT29" s="239"/>
      <c r="GRU29" s="240"/>
      <c r="GRV29" s="239"/>
      <c r="GRW29" s="240"/>
      <c r="GRX29" s="239"/>
      <c r="GRY29" s="240"/>
      <c r="GRZ29" s="239"/>
      <c r="GSA29" s="240"/>
      <c r="GSB29" s="239"/>
      <c r="GSC29" s="240"/>
      <c r="GSD29" s="239"/>
      <c r="GSE29" s="240"/>
      <c r="GSF29" s="239"/>
      <c r="GSG29" s="240"/>
      <c r="GSH29" s="239"/>
      <c r="GSI29" s="240"/>
      <c r="GSJ29" s="239"/>
      <c r="GSK29" s="240"/>
      <c r="GSL29" s="239"/>
      <c r="GSM29" s="240"/>
      <c r="GSN29" s="239"/>
      <c r="GSO29" s="240"/>
      <c r="GSP29" s="239"/>
      <c r="GSQ29" s="240"/>
      <c r="GSR29" s="239"/>
      <c r="GSS29" s="240"/>
      <c r="GST29" s="239"/>
      <c r="GSU29" s="240"/>
      <c r="GSV29" s="239"/>
      <c r="GSW29" s="240"/>
      <c r="GSX29" s="239"/>
      <c r="GSY29" s="240"/>
      <c r="GSZ29" s="239"/>
      <c r="GTA29" s="240"/>
      <c r="GTB29" s="239"/>
      <c r="GTC29" s="240"/>
      <c r="GTD29" s="239"/>
      <c r="GTE29" s="240"/>
      <c r="GTF29" s="239"/>
      <c r="GTG29" s="240"/>
      <c r="GTH29" s="239"/>
      <c r="GTI29" s="240"/>
      <c r="GTJ29" s="239"/>
      <c r="GTK29" s="240"/>
      <c r="GTL29" s="239"/>
      <c r="GTM29" s="240"/>
      <c r="GTN29" s="239"/>
      <c r="GTO29" s="240"/>
      <c r="GTP29" s="239"/>
      <c r="GTQ29" s="240"/>
      <c r="GTR29" s="239"/>
      <c r="GTS29" s="240"/>
      <c r="GTT29" s="239"/>
      <c r="GTU29" s="240"/>
      <c r="GTV29" s="239"/>
      <c r="GTW29" s="240"/>
      <c r="GTX29" s="239"/>
      <c r="GTY29" s="240"/>
      <c r="GTZ29" s="239"/>
      <c r="GUA29" s="240"/>
      <c r="GUB29" s="239"/>
      <c r="GUC29" s="240"/>
      <c r="GUD29" s="239"/>
      <c r="GUE29" s="240"/>
      <c r="GUF29" s="239"/>
      <c r="GUG29" s="240"/>
      <c r="GUH29" s="239"/>
      <c r="GUI29" s="240"/>
      <c r="GUJ29" s="239"/>
      <c r="GUK29" s="240"/>
      <c r="GUL29" s="239"/>
      <c r="GUM29" s="240"/>
      <c r="GUN29" s="239"/>
      <c r="GUO29" s="240"/>
      <c r="GUP29" s="239"/>
      <c r="GUQ29" s="240"/>
      <c r="GUR29" s="239"/>
      <c r="GUS29" s="240"/>
      <c r="GUT29" s="239"/>
      <c r="GUU29" s="240"/>
      <c r="GUV29" s="239"/>
      <c r="GUW29" s="240"/>
      <c r="GUX29" s="239"/>
      <c r="GUY29" s="240"/>
      <c r="GUZ29" s="239"/>
      <c r="GVA29" s="240"/>
      <c r="GVB29" s="239"/>
      <c r="GVC29" s="240"/>
      <c r="GVD29" s="239"/>
      <c r="GVE29" s="240"/>
      <c r="GVF29" s="239"/>
      <c r="GVG29" s="240"/>
      <c r="GVH29" s="239"/>
      <c r="GVI29" s="240"/>
      <c r="GVJ29" s="239"/>
      <c r="GVK29" s="240"/>
      <c r="GVL29" s="239"/>
      <c r="GVM29" s="240"/>
      <c r="GVN29" s="239"/>
      <c r="GVO29" s="240"/>
      <c r="GVP29" s="239"/>
      <c r="GVQ29" s="240"/>
      <c r="GVR29" s="239"/>
      <c r="GVS29" s="240"/>
      <c r="GVT29" s="239"/>
      <c r="GVU29" s="240"/>
      <c r="GVV29" s="239"/>
      <c r="GVW29" s="240"/>
      <c r="GVX29" s="239"/>
      <c r="GVY29" s="240"/>
      <c r="GVZ29" s="239"/>
      <c r="GWA29" s="240"/>
      <c r="GWB29" s="239"/>
      <c r="GWC29" s="240"/>
      <c r="GWD29" s="239"/>
      <c r="GWE29" s="240"/>
      <c r="GWF29" s="239"/>
      <c r="GWG29" s="240"/>
      <c r="GWH29" s="239"/>
      <c r="GWI29" s="240"/>
      <c r="GWJ29" s="239"/>
      <c r="GWK29" s="240"/>
      <c r="GWL29" s="239"/>
      <c r="GWM29" s="240"/>
      <c r="GWN29" s="239"/>
      <c r="GWO29" s="240"/>
      <c r="GWP29" s="239"/>
      <c r="GWQ29" s="240"/>
      <c r="GWR29" s="239"/>
      <c r="GWS29" s="240"/>
      <c r="GWT29" s="239"/>
      <c r="GWU29" s="240"/>
      <c r="GWV29" s="239"/>
      <c r="GWW29" s="240"/>
      <c r="GWX29" s="239"/>
      <c r="GWY29" s="240"/>
      <c r="GWZ29" s="239"/>
      <c r="GXA29" s="240"/>
      <c r="GXB29" s="239"/>
      <c r="GXC29" s="240"/>
      <c r="GXD29" s="239"/>
      <c r="GXE29" s="240"/>
      <c r="GXF29" s="239"/>
      <c r="GXG29" s="240"/>
      <c r="GXH29" s="239"/>
      <c r="GXI29" s="240"/>
      <c r="GXJ29" s="239"/>
      <c r="GXK29" s="240"/>
      <c r="GXL29" s="239"/>
      <c r="GXM29" s="240"/>
      <c r="GXN29" s="239"/>
      <c r="GXO29" s="240"/>
      <c r="GXP29" s="239"/>
      <c r="GXQ29" s="240"/>
      <c r="GXR29" s="239"/>
      <c r="GXS29" s="240"/>
      <c r="GXT29" s="239"/>
      <c r="GXU29" s="240"/>
      <c r="GXV29" s="239"/>
      <c r="GXW29" s="240"/>
      <c r="GXX29" s="239"/>
      <c r="GXY29" s="240"/>
      <c r="GXZ29" s="239"/>
      <c r="GYA29" s="240"/>
      <c r="GYB29" s="239"/>
      <c r="GYC29" s="240"/>
      <c r="GYD29" s="239"/>
      <c r="GYE29" s="240"/>
      <c r="GYF29" s="239"/>
      <c r="GYG29" s="240"/>
      <c r="GYH29" s="239"/>
      <c r="GYI29" s="240"/>
      <c r="GYJ29" s="239"/>
      <c r="GYK29" s="240"/>
      <c r="GYL29" s="239"/>
      <c r="GYM29" s="240"/>
      <c r="GYN29" s="239"/>
      <c r="GYO29" s="240"/>
      <c r="GYP29" s="239"/>
      <c r="GYQ29" s="240"/>
      <c r="GYR29" s="239"/>
      <c r="GYS29" s="240"/>
      <c r="GYT29" s="239"/>
      <c r="GYU29" s="240"/>
      <c r="GYV29" s="239"/>
      <c r="GYW29" s="240"/>
      <c r="GYX29" s="239"/>
      <c r="GYY29" s="240"/>
      <c r="GYZ29" s="239"/>
      <c r="GZA29" s="240"/>
      <c r="GZB29" s="239"/>
      <c r="GZC29" s="240"/>
      <c r="GZD29" s="239"/>
      <c r="GZE29" s="240"/>
      <c r="GZF29" s="239"/>
      <c r="GZG29" s="240"/>
      <c r="GZH29" s="239"/>
      <c r="GZI29" s="240"/>
      <c r="GZJ29" s="239"/>
      <c r="GZK29" s="240"/>
      <c r="GZL29" s="239"/>
      <c r="GZM29" s="240"/>
      <c r="GZN29" s="239"/>
      <c r="GZO29" s="240"/>
      <c r="GZP29" s="239"/>
      <c r="GZQ29" s="240"/>
      <c r="GZR29" s="239"/>
      <c r="GZS29" s="240"/>
      <c r="GZT29" s="239"/>
      <c r="GZU29" s="240"/>
      <c r="GZV29" s="239"/>
      <c r="GZW29" s="240"/>
      <c r="GZX29" s="239"/>
      <c r="GZY29" s="240"/>
      <c r="GZZ29" s="239"/>
      <c r="HAA29" s="240"/>
      <c r="HAB29" s="239"/>
      <c r="HAC29" s="240"/>
      <c r="HAD29" s="239"/>
      <c r="HAE29" s="240"/>
      <c r="HAF29" s="239"/>
      <c r="HAG29" s="240"/>
      <c r="HAH29" s="239"/>
      <c r="HAI29" s="240"/>
      <c r="HAJ29" s="239"/>
      <c r="HAK29" s="240"/>
      <c r="HAL29" s="239"/>
      <c r="HAM29" s="240"/>
      <c r="HAN29" s="239"/>
      <c r="HAO29" s="240"/>
      <c r="HAP29" s="239"/>
      <c r="HAQ29" s="240"/>
      <c r="HAR29" s="239"/>
      <c r="HAS29" s="240"/>
      <c r="HAT29" s="239"/>
      <c r="HAU29" s="240"/>
      <c r="HAV29" s="239"/>
      <c r="HAW29" s="240"/>
      <c r="HAX29" s="239"/>
      <c r="HAY29" s="240"/>
      <c r="HAZ29" s="239"/>
      <c r="HBA29" s="240"/>
      <c r="HBB29" s="239"/>
      <c r="HBC29" s="240"/>
      <c r="HBD29" s="239"/>
      <c r="HBE29" s="240"/>
      <c r="HBF29" s="239"/>
      <c r="HBG29" s="240"/>
      <c r="HBH29" s="239"/>
      <c r="HBI29" s="240"/>
      <c r="HBJ29" s="239"/>
      <c r="HBK29" s="240"/>
      <c r="HBL29" s="239"/>
      <c r="HBM29" s="240"/>
      <c r="HBN29" s="239"/>
      <c r="HBO29" s="240"/>
      <c r="HBP29" s="239"/>
      <c r="HBQ29" s="240"/>
      <c r="HBR29" s="239"/>
      <c r="HBS29" s="240"/>
      <c r="HBT29" s="239"/>
      <c r="HBU29" s="240"/>
      <c r="HBV29" s="239"/>
      <c r="HBW29" s="240"/>
      <c r="HBX29" s="239"/>
      <c r="HBY29" s="240"/>
      <c r="HBZ29" s="239"/>
      <c r="HCA29" s="240"/>
      <c r="HCB29" s="239"/>
      <c r="HCC29" s="240"/>
      <c r="HCD29" s="239"/>
      <c r="HCE29" s="240"/>
      <c r="HCF29" s="239"/>
      <c r="HCG29" s="240"/>
      <c r="HCH29" s="239"/>
      <c r="HCI29" s="240"/>
      <c r="HCJ29" s="239"/>
      <c r="HCK29" s="240"/>
      <c r="HCL29" s="239"/>
      <c r="HCM29" s="240"/>
      <c r="HCN29" s="239"/>
      <c r="HCO29" s="240"/>
      <c r="HCP29" s="239"/>
      <c r="HCQ29" s="240"/>
      <c r="HCR29" s="239"/>
      <c r="HCS29" s="240"/>
      <c r="HCT29" s="239"/>
      <c r="HCU29" s="240"/>
      <c r="HCV29" s="239"/>
      <c r="HCW29" s="240"/>
      <c r="HCX29" s="239"/>
      <c r="HCY29" s="240"/>
      <c r="HCZ29" s="239"/>
      <c r="HDA29" s="240"/>
      <c r="HDB29" s="239"/>
      <c r="HDC29" s="240"/>
      <c r="HDD29" s="239"/>
      <c r="HDE29" s="240"/>
      <c r="HDF29" s="239"/>
      <c r="HDG29" s="240"/>
      <c r="HDH29" s="239"/>
      <c r="HDI29" s="240"/>
      <c r="HDJ29" s="239"/>
      <c r="HDK29" s="240"/>
      <c r="HDL29" s="239"/>
      <c r="HDM29" s="240"/>
      <c r="HDN29" s="239"/>
      <c r="HDO29" s="240"/>
      <c r="HDP29" s="239"/>
      <c r="HDQ29" s="240"/>
      <c r="HDR29" s="239"/>
      <c r="HDS29" s="240"/>
      <c r="HDT29" s="239"/>
      <c r="HDU29" s="240"/>
      <c r="HDV29" s="239"/>
      <c r="HDW29" s="240"/>
      <c r="HDX29" s="239"/>
      <c r="HDY29" s="240"/>
      <c r="HDZ29" s="239"/>
      <c r="HEA29" s="240"/>
      <c r="HEB29" s="239"/>
      <c r="HEC29" s="240"/>
      <c r="HED29" s="239"/>
      <c r="HEE29" s="240"/>
      <c r="HEF29" s="239"/>
      <c r="HEG29" s="240"/>
      <c r="HEH29" s="239"/>
      <c r="HEI29" s="240"/>
      <c r="HEJ29" s="239"/>
      <c r="HEK29" s="240"/>
      <c r="HEL29" s="239"/>
      <c r="HEM29" s="240"/>
      <c r="HEN29" s="239"/>
      <c r="HEO29" s="240"/>
      <c r="HEP29" s="239"/>
      <c r="HEQ29" s="240"/>
      <c r="HER29" s="239"/>
      <c r="HES29" s="240"/>
      <c r="HET29" s="239"/>
      <c r="HEU29" s="240"/>
      <c r="HEV29" s="239"/>
      <c r="HEW29" s="240"/>
      <c r="HEX29" s="239"/>
      <c r="HEY29" s="240"/>
      <c r="HEZ29" s="239"/>
      <c r="HFA29" s="240"/>
      <c r="HFB29" s="239"/>
      <c r="HFC29" s="240"/>
      <c r="HFD29" s="239"/>
      <c r="HFE29" s="240"/>
      <c r="HFF29" s="239"/>
      <c r="HFG29" s="240"/>
      <c r="HFH29" s="239"/>
      <c r="HFI29" s="240"/>
      <c r="HFJ29" s="239"/>
      <c r="HFK29" s="240"/>
      <c r="HFL29" s="239"/>
      <c r="HFM29" s="240"/>
      <c r="HFN29" s="239"/>
      <c r="HFO29" s="240"/>
      <c r="HFP29" s="239"/>
      <c r="HFQ29" s="240"/>
      <c r="HFR29" s="239"/>
      <c r="HFS29" s="240"/>
      <c r="HFT29" s="239"/>
      <c r="HFU29" s="240"/>
      <c r="HFV29" s="239"/>
      <c r="HFW29" s="240"/>
      <c r="HFX29" s="239"/>
      <c r="HFY29" s="240"/>
      <c r="HFZ29" s="239"/>
      <c r="HGA29" s="240"/>
      <c r="HGB29" s="239"/>
      <c r="HGC29" s="240"/>
      <c r="HGD29" s="239"/>
      <c r="HGE29" s="240"/>
      <c r="HGF29" s="239"/>
      <c r="HGG29" s="240"/>
      <c r="HGH29" s="239"/>
      <c r="HGI29" s="240"/>
      <c r="HGJ29" s="239"/>
      <c r="HGK29" s="240"/>
      <c r="HGL29" s="239"/>
      <c r="HGM29" s="240"/>
      <c r="HGN29" s="239"/>
      <c r="HGO29" s="240"/>
      <c r="HGP29" s="239"/>
      <c r="HGQ29" s="240"/>
      <c r="HGR29" s="239"/>
      <c r="HGS29" s="240"/>
      <c r="HGT29" s="239"/>
      <c r="HGU29" s="240"/>
      <c r="HGV29" s="239"/>
      <c r="HGW29" s="240"/>
      <c r="HGX29" s="239"/>
      <c r="HGY29" s="240"/>
      <c r="HGZ29" s="239"/>
      <c r="HHA29" s="240"/>
      <c r="HHB29" s="239"/>
      <c r="HHC29" s="240"/>
      <c r="HHD29" s="239"/>
      <c r="HHE29" s="240"/>
      <c r="HHF29" s="239"/>
      <c r="HHG29" s="240"/>
      <c r="HHH29" s="239"/>
      <c r="HHI29" s="240"/>
      <c r="HHJ29" s="239"/>
      <c r="HHK29" s="240"/>
      <c r="HHL29" s="239"/>
      <c r="HHM29" s="240"/>
      <c r="HHN29" s="239"/>
      <c r="HHO29" s="240"/>
      <c r="HHP29" s="239"/>
      <c r="HHQ29" s="240"/>
      <c r="HHR29" s="239"/>
      <c r="HHS29" s="240"/>
      <c r="HHT29" s="239"/>
      <c r="HHU29" s="240"/>
      <c r="HHV29" s="239"/>
      <c r="HHW29" s="240"/>
      <c r="HHX29" s="239"/>
      <c r="HHY29" s="240"/>
      <c r="HHZ29" s="239"/>
      <c r="HIA29" s="240"/>
      <c r="HIB29" s="239"/>
      <c r="HIC29" s="240"/>
      <c r="HID29" s="239"/>
      <c r="HIE29" s="240"/>
      <c r="HIF29" s="239"/>
      <c r="HIG29" s="240"/>
      <c r="HIH29" s="239"/>
      <c r="HII29" s="240"/>
      <c r="HIJ29" s="239"/>
      <c r="HIK29" s="240"/>
      <c r="HIL29" s="239"/>
      <c r="HIM29" s="240"/>
      <c r="HIN29" s="239"/>
      <c r="HIO29" s="240"/>
      <c r="HIP29" s="239"/>
      <c r="HIQ29" s="240"/>
      <c r="HIR29" s="239"/>
      <c r="HIS29" s="240"/>
      <c r="HIT29" s="239"/>
      <c r="HIU29" s="240"/>
      <c r="HIV29" s="239"/>
      <c r="HIW29" s="240"/>
      <c r="HIX29" s="239"/>
      <c r="HIY29" s="240"/>
      <c r="HIZ29" s="239"/>
      <c r="HJA29" s="240"/>
      <c r="HJB29" s="239"/>
      <c r="HJC29" s="240"/>
      <c r="HJD29" s="239"/>
      <c r="HJE29" s="240"/>
      <c r="HJF29" s="239"/>
      <c r="HJG29" s="240"/>
      <c r="HJH29" s="239"/>
      <c r="HJI29" s="240"/>
      <c r="HJJ29" s="239"/>
      <c r="HJK29" s="240"/>
      <c r="HJL29" s="239"/>
      <c r="HJM29" s="240"/>
      <c r="HJN29" s="239"/>
      <c r="HJO29" s="240"/>
      <c r="HJP29" s="239"/>
      <c r="HJQ29" s="240"/>
      <c r="HJR29" s="239"/>
      <c r="HJS29" s="240"/>
      <c r="HJT29" s="239"/>
      <c r="HJU29" s="240"/>
      <c r="HJV29" s="239"/>
      <c r="HJW29" s="240"/>
      <c r="HJX29" s="239"/>
      <c r="HJY29" s="240"/>
      <c r="HJZ29" s="239"/>
      <c r="HKA29" s="240"/>
      <c r="HKB29" s="239"/>
      <c r="HKC29" s="240"/>
      <c r="HKD29" s="239"/>
      <c r="HKE29" s="240"/>
      <c r="HKF29" s="239"/>
      <c r="HKG29" s="240"/>
      <c r="HKH29" s="239"/>
      <c r="HKI29" s="240"/>
      <c r="HKJ29" s="239"/>
      <c r="HKK29" s="240"/>
      <c r="HKL29" s="239"/>
      <c r="HKM29" s="240"/>
      <c r="HKN29" s="239"/>
      <c r="HKO29" s="240"/>
      <c r="HKP29" s="239"/>
      <c r="HKQ29" s="240"/>
      <c r="HKR29" s="239"/>
      <c r="HKS29" s="240"/>
      <c r="HKT29" s="239"/>
      <c r="HKU29" s="240"/>
      <c r="HKV29" s="239"/>
      <c r="HKW29" s="240"/>
      <c r="HKX29" s="239"/>
      <c r="HKY29" s="240"/>
      <c r="HKZ29" s="239"/>
      <c r="HLA29" s="240"/>
      <c r="HLB29" s="239"/>
      <c r="HLC29" s="240"/>
      <c r="HLD29" s="239"/>
      <c r="HLE29" s="240"/>
      <c r="HLF29" s="239"/>
      <c r="HLG29" s="240"/>
      <c r="HLH29" s="239"/>
      <c r="HLI29" s="240"/>
      <c r="HLJ29" s="239"/>
      <c r="HLK29" s="240"/>
      <c r="HLL29" s="239"/>
      <c r="HLM29" s="240"/>
      <c r="HLN29" s="239"/>
      <c r="HLO29" s="240"/>
      <c r="HLP29" s="239"/>
      <c r="HLQ29" s="240"/>
      <c r="HLR29" s="239"/>
      <c r="HLS29" s="240"/>
      <c r="HLT29" s="239"/>
      <c r="HLU29" s="240"/>
      <c r="HLV29" s="239"/>
      <c r="HLW29" s="240"/>
      <c r="HLX29" s="239"/>
      <c r="HLY29" s="240"/>
      <c r="HLZ29" s="239"/>
      <c r="HMA29" s="240"/>
      <c r="HMB29" s="239"/>
      <c r="HMC29" s="240"/>
      <c r="HMD29" s="239"/>
      <c r="HME29" s="240"/>
      <c r="HMF29" s="239"/>
      <c r="HMG29" s="240"/>
      <c r="HMH29" s="239"/>
      <c r="HMI29" s="240"/>
      <c r="HMJ29" s="239"/>
      <c r="HMK29" s="240"/>
      <c r="HML29" s="239"/>
      <c r="HMM29" s="240"/>
      <c r="HMN29" s="239"/>
      <c r="HMO29" s="240"/>
      <c r="HMP29" s="239"/>
      <c r="HMQ29" s="240"/>
      <c r="HMR29" s="239"/>
      <c r="HMS29" s="240"/>
      <c r="HMT29" s="239"/>
      <c r="HMU29" s="240"/>
      <c r="HMV29" s="239"/>
      <c r="HMW29" s="240"/>
      <c r="HMX29" s="239"/>
      <c r="HMY29" s="240"/>
      <c r="HMZ29" s="239"/>
      <c r="HNA29" s="240"/>
      <c r="HNB29" s="239"/>
      <c r="HNC29" s="240"/>
      <c r="HND29" s="239"/>
      <c r="HNE29" s="240"/>
      <c r="HNF29" s="239"/>
      <c r="HNG29" s="240"/>
      <c r="HNH29" s="239"/>
      <c r="HNI29" s="240"/>
      <c r="HNJ29" s="239"/>
      <c r="HNK29" s="240"/>
      <c r="HNL29" s="239"/>
      <c r="HNM29" s="240"/>
      <c r="HNN29" s="239"/>
      <c r="HNO29" s="240"/>
      <c r="HNP29" s="239"/>
      <c r="HNQ29" s="240"/>
      <c r="HNR29" s="239"/>
      <c r="HNS29" s="240"/>
      <c r="HNT29" s="239"/>
      <c r="HNU29" s="240"/>
      <c r="HNV29" s="239"/>
      <c r="HNW29" s="240"/>
      <c r="HNX29" s="239"/>
      <c r="HNY29" s="240"/>
      <c r="HNZ29" s="239"/>
      <c r="HOA29" s="240"/>
      <c r="HOB29" s="239"/>
      <c r="HOC29" s="240"/>
      <c r="HOD29" s="239"/>
      <c r="HOE29" s="240"/>
      <c r="HOF29" s="239"/>
      <c r="HOG29" s="240"/>
      <c r="HOH29" s="239"/>
      <c r="HOI29" s="240"/>
      <c r="HOJ29" s="239"/>
      <c r="HOK29" s="240"/>
      <c r="HOL29" s="239"/>
      <c r="HOM29" s="240"/>
      <c r="HON29" s="239"/>
      <c r="HOO29" s="240"/>
      <c r="HOP29" s="239"/>
      <c r="HOQ29" s="240"/>
      <c r="HOR29" s="239"/>
      <c r="HOS29" s="240"/>
      <c r="HOT29" s="239"/>
      <c r="HOU29" s="240"/>
      <c r="HOV29" s="239"/>
      <c r="HOW29" s="240"/>
      <c r="HOX29" s="239"/>
      <c r="HOY29" s="240"/>
      <c r="HOZ29" s="239"/>
      <c r="HPA29" s="240"/>
      <c r="HPB29" s="239"/>
      <c r="HPC29" s="240"/>
      <c r="HPD29" s="239"/>
      <c r="HPE29" s="240"/>
      <c r="HPF29" s="239"/>
      <c r="HPG29" s="240"/>
      <c r="HPH29" s="239"/>
      <c r="HPI29" s="240"/>
      <c r="HPJ29" s="239"/>
      <c r="HPK29" s="240"/>
      <c r="HPL29" s="239"/>
      <c r="HPM29" s="240"/>
      <c r="HPN29" s="239"/>
      <c r="HPO29" s="240"/>
      <c r="HPP29" s="239"/>
      <c r="HPQ29" s="240"/>
      <c r="HPR29" s="239"/>
      <c r="HPS29" s="240"/>
      <c r="HPT29" s="239"/>
      <c r="HPU29" s="240"/>
      <c r="HPV29" s="239"/>
      <c r="HPW29" s="240"/>
      <c r="HPX29" s="239"/>
      <c r="HPY29" s="240"/>
      <c r="HPZ29" s="239"/>
      <c r="HQA29" s="240"/>
      <c r="HQB29" s="239"/>
      <c r="HQC29" s="240"/>
      <c r="HQD29" s="239"/>
      <c r="HQE29" s="240"/>
      <c r="HQF29" s="239"/>
      <c r="HQG29" s="240"/>
      <c r="HQH29" s="239"/>
      <c r="HQI29" s="240"/>
      <c r="HQJ29" s="239"/>
      <c r="HQK29" s="240"/>
      <c r="HQL29" s="239"/>
      <c r="HQM29" s="240"/>
      <c r="HQN29" s="239"/>
      <c r="HQO29" s="240"/>
      <c r="HQP29" s="239"/>
      <c r="HQQ29" s="240"/>
      <c r="HQR29" s="239"/>
      <c r="HQS29" s="240"/>
      <c r="HQT29" s="239"/>
      <c r="HQU29" s="240"/>
      <c r="HQV29" s="239"/>
      <c r="HQW29" s="240"/>
      <c r="HQX29" s="239"/>
      <c r="HQY29" s="240"/>
      <c r="HQZ29" s="239"/>
      <c r="HRA29" s="240"/>
      <c r="HRB29" s="239"/>
      <c r="HRC29" s="240"/>
      <c r="HRD29" s="239"/>
      <c r="HRE29" s="240"/>
      <c r="HRF29" s="239"/>
      <c r="HRG29" s="240"/>
      <c r="HRH29" s="239"/>
      <c r="HRI29" s="240"/>
      <c r="HRJ29" s="239"/>
      <c r="HRK29" s="240"/>
      <c r="HRL29" s="239"/>
      <c r="HRM29" s="240"/>
      <c r="HRN29" s="239"/>
      <c r="HRO29" s="240"/>
      <c r="HRP29" s="239"/>
      <c r="HRQ29" s="240"/>
      <c r="HRR29" s="239"/>
      <c r="HRS29" s="240"/>
      <c r="HRT29" s="239"/>
      <c r="HRU29" s="240"/>
      <c r="HRV29" s="239"/>
      <c r="HRW29" s="240"/>
      <c r="HRX29" s="239"/>
      <c r="HRY29" s="240"/>
      <c r="HRZ29" s="239"/>
      <c r="HSA29" s="240"/>
      <c r="HSB29" s="239"/>
      <c r="HSC29" s="240"/>
      <c r="HSD29" s="239"/>
      <c r="HSE29" s="240"/>
      <c r="HSF29" s="239"/>
      <c r="HSG29" s="240"/>
      <c r="HSH29" s="239"/>
      <c r="HSI29" s="240"/>
      <c r="HSJ29" s="239"/>
      <c r="HSK29" s="240"/>
      <c r="HSL29" s="239"/>
      <c r="HSM29" s="240"/>
      <c r="HSN29" s="239"/>
      <c r="HSO29" s="240"/>
      <c r="HSP29" s="239"/>
      <c r="HSQ29" s="240"/>
      <c r="HSR29" s="239"/>
      <c r="HSS29" s="240"/>
      <c r="HST29" s="239"/>
      <c r="HSU29" s="240"/>
      <c r="HSV29" s="239"/>
      <c r="HSW29" s="240"/>
      <c r="HSX29" s="239"/>
      <c r="HSY29" s="240"/>
      <c r="HSZ29" s="239"/>
      <c r="HTA29" s="240"/>
      <c r="HTB29" s="239"/>
      <c r="HTC29" s="240"/>
      <c r="HTD29" s="239"/>
      <c r="HTE29" s="240"/>
      <c r="HTF29" s="239"/>
      <c r="HTG29" s="240"/>
      <c r="HTH29" s="239"/>
      <c r="HTI29" s="240"/>
      <c r="HTJ29" s="239"/>
      <c r="HTK29" s="240"/>
      <c r="HTL29" s="239"/>
      <c r="HTM29" s="240"/>
      <c r="HTN29" s="239"/>
      <c r="HTO29" s="240"/>
      <c r="HTP29" s="239"/>
      <c r="HTQ29" s="240"/>
      <c r="HTR29" s="239"/>
      <c r="HTS29" s="240"/>
      <c r="HTT29" s="239"/>
      <c r="HTU29" s="240"/>
      <c r="HTV29" s="239"/>
      <c r="HTW29" s="240"/>
      <c r="HTX29" s="239"/>
      <c r="HTY29" s="240"/>
      <c r="HTZ29" s="239"/>
      <c r="HUA29" s="240"/>
      <c r="HUB29" s="239"/>
      <c r="HUC29" s="240"/>
      <c r="HUD29" s="239"/>
      <c r="HUE29" s="240"/>
      <c r="HUF29" s="239"/>
      <c r="HUG29" s="240"/>
      <c r="HUH29" s="239"/>
      <c r="HUI29" s="240"/>
      <c r="HUJ29" s="239"/>
      <c r="HUK29" s="240"/>
      <c r="HUL29" s="239"/>
      <c r="HUM29" s="240"/>
      <c r="HUN29" s="239"/>
      <c r="HUO29" s="240"/>
      <c r="HUP29" s="239"/>
      <c r="HUQ29" s="240"/>
      <c r="HUR29" s="239"/>
      <c r="HUS29" s="240"/>
      <c r="HUT29" s="239"/>
      <c r="HUU29" s="240"/>
      <c r="HUV29" s="239"/>
      <c r="HUW29" s="240"/>
      <c r="HUX29" s="239"/>
      <c r="HUY29" s="240"/>
      <c r="HUZ29" s="239"/>
      <c r="HVA29" s="240"/>
      <c r="HVB29" s="239"/>
      <c r="HVC29" s="240"/>
      <c r="HVD29" s="239"/>
      <c r="HVE29" s="240"/>
      <c r="HVF29" s="239"/>
      <c r="HVG29" s="240"/>
      <c r="HVH29" s="239"/>
      <c r="HVI29" s="240"/>
      <c r="HVJ29" s="239"/>
      <c r="HVK29" s="240"/>
      <c r="HVL29" s="239"/>
      <c r="HVM29" s="240"/>
      <c r="HVN29" s="239"/>
      <c r="HVO29" s="240"/>
      <c r="HVP29" s="239"/>
      <c r="HVQ29" s="240"/>
      <c r="HVR29" s="239"/>
      <c r="HVS29" s="240"/>
      <c r="HVT29" s="239"/>
      <c r="HVU29" s="240"/>
      <c r="HVV29" s="239"/>
      <c r="HVW29" s="240"/>
      <c r="HVX29" s="239"/>
      <c r="HVY29" s="240"/>
      <c r="HVZ29" s="239"/>
      <c r="HWA29" s="240"/>
      <c r="HWB29" s="239"/>
      <c r="HWC29" s="240"/>
      <c r="HWD29" s="239"/>
      <c r="HWE29" s="240"/>
      <c r="HWF29" s="239"/>
      <c r="HWG29" s="240"/>
      <c r="HWH29" s="239"/>
      <c r="HWI29" s="240"/>
      <c r="HWJ29" s="239"/>
      <c r="HWK29" s="240"/>
      <c r="HWL29" s="239"/>
      <c r="HWM29" s="240"/>
      <c r="HWN29" s="239"/>
      <c r="HWO29" s="240"/>
      <c r="HWP29" s="239"/>
      <c r="HWQ29" s="240"/>
      <c r="HWR29" s="239"/>
      <c r="HWS29" s="240"/>
      <c r="HWT29" s="239"/>
      <c r="HWU29" s="240"/>
      <c r="HWV29" s="239"/>
      <c r="HWW29" s="240"/>
      <c r="HWX29" s="239"/>
      <c r="HWY29" s="240"/>
      <c r="HWZ29" s="239"/>
      <c r="HXA29" s="240"/>
      <c r="HXB29" s="239"/>
      <c r="HXC29" s="240"/>
      <c r="HXD29" s="239"/>
      <c r="HXE29" s="240"/>
      <c r="HXF29" s="239"/>
      <c r="HXG29" s="240"/>
      <c r="HXH29" s="239"/>
      <c r="HXI29" s="240"/>
      <c r="HXJ29" s="239"/>
      <c r="HXK29" s="240"/>
      <c r="HXL29" s="239"/>
      <c r="HXM29" s="240"/>
      <c r="HXN29" s="239"/>
      <c r="HXO29" s="240"/>
      <c r="HXP29" s="239"/>
      <c r="HXQ29" s="240"/>
      <c r="HXR29" s="239"/>
      <c r="HXS29" s="240"/>
      <c r="HXT29" s="239"/>
      <c r="HXU29" s="240"/>
      <c r="HXV29" s="239"/>
      <c r="HXW29" s="240"/>
      <c r="HXX29" s="239"/>
      <c r="HXY29" s="240"/>
      <c r="HXZ29" s="239"/>
      <c r="HYA29" s="240"/>
      <c r="HYB29" s="239"/>
      <c r="HYC29" s="240"/>
      <c r="HYD29" s="239"/>
      <c r="HYE29" s="240"/>
      <c r="HYF29" s="239"/>
      <c r="HYG29" s="240"/>
      <c r="HYH29" s="239"/>
      <c r="HYI29" s="240"/>
      <c r="HYJ29" s="239"/>
      <c r="HYK29" s="240"/>
      <c r="HYL29" s="239"/>
      <c r="HYM29" s="240"/>
      <c r="HYN29" s="239"/>
      <c r="HYO29" s="240"/>
      <c r="HYP29" s="239"/>
      <c r="HYQ29" s="240"/>
      <c r="HYR29" s="239"/>
      <c r="HYS29" s="240"/>
      <c r="HYT29" s="239"/>
      <c r="HYU29" s="240"/>
      <c r="HYV29" s="239"/>
      <c r="HYW29" s="240"/>
      <c r="HYX29" s="239"/>
      <c r="HYY29" s="240"/>
      <c r="HYZ29" s="239"/>
      <c r="HZA29" s="240"/>
      <c r="HZB29" s="239"/>
      <c r="HZC29" s="240"/>
      <c r="HZD29" s="239"/>
      <c r="HZE29" s="240"/>
      <c r="HZF29" s="239"/>
      <c r="HZG29" s="240"/>
      <c r="HZH29" s="239"/>
      <c r="HZI29" s="240"/>
      <c r="HZJ29" s="239"/>
      <c r="HZK29" s="240"/>
      <c r="HZL29" s="239"/>
      <c r="HZM29" s="240"/>
      <c r="HZN29" s="239"/>
      <c r="HZO29" s="240"/>
      <c r="HZP29" s="239"/>
      <c r="HZQ29" s="240"/>
      <c r="HZR29" s="239"/>
      <c r="HZS29" s="240"/>
      <c r="HZT29" s="239"/>
      <c r="HZU29" s="240"/>
      <c r="HZV29" s="239"/>
      <c r="HZW29" s="240"/>
      <c r="HZX29" s="239"/>
      <c r="HZY29" s="240"/>
      <c r="HZZ29" s="239"/>
      <c r="IAA29" s="240"/>
      <c r="IAB29" s="239"/>
      <c r="IAC29" s="240"/>
      <c r="IAD29" s="239"/>
      <c r="IAE29" s="240"/>
      <c r="IAF29" s="239"/>
      <c r="IAG29" s="240"/>
      <c r="IAH29" s="239"/>
      <c r="IAI29" s="240"/>
      <c r="IAJ29" s="239"/>
      <c r="IAK29" s="240"/>
      <c r="IAL29" s="239"/>
      <c r="IAM29" s="240"/>
      <c r="IAN29" s="239"/>
      <c r="IAO29" s="240"/>
      <c r="IAP29" s="239"/>
      <c r="IAQ29" s="240"/>
      <c r="IAR29" s="239"/>
      <c r="IAS29" s="240"/>
      <c r="IAT29" s="239"/>
      <c r="IAU29" s="240"/>
      <c r="IAV29" s="239"/>
      <c r="IAW29" s="240"/>
      <c r="IAX29" s="239"/>
      <c r="IAY29" s="240"/>
      <c r="IAZ29" s="239"/>
      <c r="IBA29" s="240"/>
      <c r="IBB29" s="239"/>
      <c r="IBC29" s="240"/>
      <c r="IBD29" s="239"/>
      <c r="IBE29" s="240"/>
      <c r="IBF29" s="239"/>
      <c r="IBG29" s="240"/>
      <c r="IBH29" s="239"/>
      <c r="IBI29" s="240"/>
      <c r="IBJ29" s="239"/>
      <c r="IBK29" s="240"/>
      <c r="IBL29" s="239"/>
      <c r="IBM29" s="240"/>
      <c r="IBN29" s="239"/>
      <c r="IBO29" s="240"/>
      <c r="IBP29" s="239"/>
      <c r="IBQ29" s="240"/>
      <c r="IBR29" s="239"/>
      <c r="IBS29" s="240"/>
      <c r="IBT29" s="239"/>
      <c r="IBU29" s="240"/>
      <c r="IBV29" s="239"/>
      <c r="IBW29" s="240"/>
      <c r="IBX29" s="239"/>
      <c r="IBY29" s="240"/>
      <c r="IBZ29" s="239"/>
      <c r="ICA29" s="240"/>
      <c r="ICB29" s="239"/>
      <c r="ICC29" s="240"/>
      <c r="ICD29" s="239"/>
      <c r="ICE29" s="240"/>
      <c r="ICF29" s="239"/>
      <c r="ICG29" s="240"/>
      <c r="ICH29" s="239"/>
      <c r="ICI29" s="240"/>
      <c r="ICJ29" s="239"/>
      <c r="ICK29" s="240"/>
      <c r="ICL29" s="239"/>
      <c r="ICM29" s="240"/>
      <c r="ICN29" s="239"/>
      <c r="ICO29" s="240"/>
      <c r="ICP29" s="239"/>
      <c r="ICQ29" s="240"/>
      <c r="ICR29" s="239"/>
      <c r="ICS29" s="240"/>
      <c r="ICT29" s="239"/>
      <c r="ICU29" s="240"/>
      <c r="ICV29" s="239"/>
      <c r="ICW29" s="240"/>
      <c r="ICX29" s="239"/>
      <c r="ICY29" s="240"/>
      <c r="ICZ29" s="239"/>
      <c r="IDA29" s="240"/>
      <c r="IDB29" s="239"/>
      <c r="IDC29" s="240"/>
      <c r="IDD29" s="239"/>
      <c r="IDE29" s="240"/>
      <c r="IDF29" s="239"/>
      <c r="IDG29" s="240"/>
      <c r="IDH29" s="239"/>
      <c r="IDI29" s="240"/>
      <c r="IDJ29" s="239"/>
      <c r="IDK29" s="240"/>
      <c r="IDL29" s="239"/>
      <c r="IDM29" s="240"/>
      <c r="IDN29" s="239"/>
      <c r="IDO29" s="240"/>
      <c r="IDP29" s="239"/>
      <c r="IDQ29" s="240"/>
      <c r="IDR29" s="239"/>
      <c r="IDS29" s="240"/>
      <c r="IDT29" s="239"/>
      <c r="IDU29" s="240"/>
      <c r="IDV29" s="239"/>
      <c r="IDW29" s="240"/>
      <c r="IDX29" s="239"/>
      <c r="IDY29" s="240"/>
      <c r="IDZ29" s="239"/>
      <c r="IEA29" s="240"/>
      <c r="IEB29" s="239"/>
      <c r="IEC29" s="240"/>
      <c r="IED29" s="239"/>
      <c r="IEE29" s="240"/>
      <c r="IEF29" s="239"/>
      <c r="IEG29" s="240"/>
      <c r="IEH29" s="239"/>
      <c r="IEI29" s="240"/>
      <c r="IEJ29" s="239"/>
      <c r="IEK29" s="240"/>
      <c r="IEL29" s="239"/>
      <c r="IEM29" s="240"/>
      <c r="IEN29" s="239"/>
      <c r="IEO29" s="240"/>
      <c r="IEP29" s="239"/>
      <c r="IEQ29" s="240"/>
      <c r="IER29" s="239"/>
      <c r="IES29" s="240"/>
      <c r="IET29" s="239"/>
      <c r="IEU29" s="240"/>
      <c r="IEV29" s="239"/>
      <c r="IEW29" s="240"/>
      <c r="IEX29" s="239"/>
      <c r="IEY29" s="240"/>
      <c r="IEZ29" s="239"/>
      <c r="IFA29" s="240"/>
      <c r="IFB29" s="239"/>
      <c r="IFC29" s="240"/>
      <c r="IFD29" s="239"/>
      <c r="IFE29" s="240"/>
      <c r="IFF29" s="239"/>
      <c r="IFG29" s="240"/>
      <c r="IFH29" s="239"/>
      <c r="IFI29" s="240"/>
      <c r="IFJ29" s="239"/>
      <c r="IFK29" s="240"/>
      <c r="IFL29" s="239"/>
      <c r="IFM29" s="240"/>
      <c r="IFN29" s="239"/>
      <c r="IFO29" s="240"/>
      <c r="IFP29" s="239"/>
      <c r="IFQ29" s="240"/>
      <c r="IFR29" s="239"/>
      <c r="IFS29" s="240"/>
      <c r="IFT29" s="239"/>
      <c r="IFU29" s="240"/>
      <c r="IFV29" s="239"/>
      <c r="IFW29" s="240"/>
      <c r="IFX29" s="239"/>
      <c r="IFY29" s="240"/>
      <c r="IFZ29" s="239"/>
      <c r="IGA29" s="240"/>
      <c r="IGB29" s="239"/>
      <c r="IGC29" s="240"/>
      <c r="IGD29" s="239"/>
      <c r="IGE29" s="240"/>
      <c r="IGF29" s="239"/>
      <c r="IGG29" s="240"/>
      <c r="IGH29" s="239"/>
      <c r="IGI29" s="240"/>
      <c r="IGJ29" s="239"/>
      <c r="IGK29" s="240"/>
      <c r="IGL29" s="239"/>
      <c r="IGM29" s="240"/>
      <c r="IGN29" s="239"/>
      <c r="IGO29" s="240"/>
      <c r="IGP29" s="239"/>
      <c r="IGQ29" s="240"/>
      <c r="IGR29" s="239"/>
      <c r="IGS29" s="240"/>
      <c r="IGT29" s="239"/>
      <c r="IGU29" s="240"/>
      <c r="IGV29" s="239"/>
      <c r="IGW29" s="240"/>
      <c r="IGX29" s="239"/>
      <c r="IGY29" s="240"/>
      <c r="IGZ29" s="239"/>
      <c r="IHA29" s="240"/>
      <c r="IHB29" s="239"/>
      <c r="IHC29" s="240"/>
      <c r="IHD29" s="239"/>
      <c r="IHE29" s="240"/>
      <c r="IHF29" s="239"/>
      <c r="IHG29" s="240"/>
      <c r="IHH29" s="239"/>
      <c r="IHI29" s="240"/>
      <c r="IHJ29" s="239"/>
      <c r="IHK29" s="240"/>
      <c r="IHL29" s="239"/>
      <c r="IHM29" s="240"/>
      <c r="IHN29" s="239"/>
      <c r="IHO29" s="240"/>
      <c r="IHP29" s="239"/>
      <c r="IHQ29" s="240"/>
      <c r="IHR29" s="239"/>
      <c r="IHS29" s="240"/>
      <c r="IHT29" s="239"/>
      <c r="IHU29" s="240"/>
      <c r="IHV29" s="239"/>
      <c r="IHW29" s="240"/>
      <c r="IHX29" s="239"/>
      <c r="IHY29" s="240"/>
      <c r="IHZ29" s="239"/>
      <c r="IIA29" s="240"/>
      <c r="IIB29" s="239"/>
      <c r="IIC29" s="240"/>
      <c r="IID29" s="239"/>
      <c r="IIE29" s="240"/>
      <c r="IIF29" s="239"/>
      <c r="IIG29" s="240"/>
      <c r="IIH29" s="239"/>
      <c r="III29" s="240"/>
      <c r="IIJ29" s="239"/>
      <c r="IIK29" s="240"/>
      <c r="IIL29" s="239"/>
      <c r="IIM29" s="240"/>
      <c r="IIN29" s="239"/>
      <c r="IIO29" s="240"/>
      <c r="IIP29" s="239"/>
      <c r="IIQ29" s="240"/>
      <c r="IIR29" s="239"/>
      <c r="IIS29" s="240"/>
      <c r="IIT29" s="239"/>
      <c r="IIU29" s="240"/>
      <c r="IIV29" s="239"/>
      <c r="IIW29" s="240"/>
      <c r="IIX29" s="239"/>
      <c r="IIY29" s="240"/>
      <c r="IIZ29" s="239"/>
      <c r="IJA29" s="240"/>
      <c r="IJB29" s="239"/>
      <c r="IJC29" s="240"/>
      <c r="IJD29" s="239"/>
      <c r="IJE29" s="240"/>
      <c r="IJF29" s="239"/>
      <c r="IJG29" s="240"/>
      <c r="IJH29" s="239"/>
      <c r="IJI29" s="240"/>
      <c r="IJJ29" s="239"/>
      <c r="IJK29" s="240"/>
      <c r="IJL29" s="239"/>
      <c r="IJM29" s="240"/>
      <c r="IJN29" s="239"/>
      <c r="IJO29" s="240"/>
      <c r="IJP29" s="239"/>
      <c r="IJQ29" s="240"/>
      <c r="IJR29" s="239"/>
      <c r="IJS29" s="240"/>
      <c r="IJT29" s="239"/>
      <c r="IJU29" s="240"/>
      <c r="IJV29" s="239"/>
      <c r="IJW29" s="240"/>
      <c r="IJX29" s="239"/>
      <c r="IJY29" s="240"/>
      <c r="IJZ29" s="239"/>
      <c r="IKA29" s="240"/>
      <c r="IKB29" s="239"/>
      <c r="IKC29" s="240"/>
      <c r="IKD29" s="239"/>
      <c r="IKE29" s="240"/>
      <c r="IKF29" s="239"/>
      <c r="IKG29" s="240"/>
      <c r="IKH29" s="239"/>
      <c r="IKI29" s="240"/>
      <c r="IKJ29" s="239"/>
      <c r="IKK29" s="240"/>
      <c r="IKL29" s="239"/>
      <c r="IKM29" s="240"/>
      <c r="IKN29" s="239"/>
      <c r="IKO29" s="240"/>
      <c r="IKP29" s="239"/>
      <c r="IKQ29" s="240"/>
      <c r="IKR29" s="239"/>
      <c r="IKS29" s="240"/>
      <c r="IKT29" s="239"/>
      <c r="IKU29" s="240"/>
      <c r="IKV29" s="239"/>
      <c r="IKW29" s="240"/>
      <c r="IKX29" s="239"/>
      <c r="IKY29" s="240"/>
      <c r="IKZ29" s="239"/>
      <c r="ILA29" s="240"/>
      <c r="ILB29" s="239"/>
      <c r="ILC29" s="240"/>
      <c r="ILD29" s="239"/>
      <c r="ILE29" s="240"/>
      <c r="ILF29" s="239"/>
      <c r="ILG29" s="240"/>
      <c r="ILH29" s="239"/>
      <c r="ILI29" s="240"/>
      <c r="ILJ29" s="239"/>
      <c r="ILK29" s="240"/>
      <c r="ILL29" s="239"/>
      <c r="ILM29" s="240"/>
      <c r="ILN29" s="239"/>
      <c r="ILO29" s="240"/>
      <c r="ILP29" s="239"/>
      <c r="ILQ29" s="240"/>
      <c r="ILR29" s="239"/>
      <c r="ILS29" s="240"/>
      <c r="ILT29" s="239"/>
      <c r="ILU29" s="240"/>
      <c r="ILV29" s="239"/>
      <c r="ILW29" s="240"/>
      <c r="ILX29" s="239"/>
      <c r="ILY29" s="240"/>
      <c r="ILZ29" s="239"/>
      <c r="IMA29" s="240"/>
      <c r="IMB29" s="239"/>
      <c r="IMC29" s="240"/>
      <c r="IMD29" s="239"/>
      <c r="IME29" s="240"/>
      <c r="IMF29" s="239"/>
      <c r="IMG29" s="240"/>
      <c r="IMH29" s="239"/>
      <c r="IMI29" s="240"/>
      <c r="IMJ29" s="239"/>
      <c r="IMK29" s="240"/>
      <c r="IML29" s="239"/>
      <c r="IMM29" s="240"/>
      <c r="IMN29" s="239"/>
      <c r="IMO29" s="240"/>
      <c r="IMP29" s="239"/>
      <c r="IMQ29" s="240"/>
      <c r="IMR29" s="239"/>
      <c r="IMS29" s="240"/>
      <c r="IMT29" s="239"/>
      <c r="IMU29" s="240"/>
      <c r="IMV29" s="239"/>
      <c r="IMW29" s="240"/>
      <c r="IMX29" s="239"/>
      <c r="IMY29" s="240"/>
      <c r="IMZ29" s="239"/>
      <c r="INA29" s="240"/>
      <c r="INB29" s="239"/>
      <c r="INC29" s="240"/>
      <c r="IND29" s="239"/>
      <c r="INE29" s="240"/>
      <c r="INF29" s="239"/>
      <c r="ING29" s="240"/>
      <c r="INH29" s="239"/>
      <c r="INI29" s="240"/>
      <c r="INJ29" s="239"/>
      <c r="INK29" s="240"/>
      <c r="INL29" s="239"/>
      <c r="INM29" s="240"/>
      <c r="INN29" s="239"/>
      <c r="INO29" s="240"/>
      <c r="INP29" s="239"/>
      <c r="INQ29" s="240"/>
      <c r="INR29" s="239"/>
      <c r="INS29" s="240"/>
      <c r="INT29" s="239"/>
      <c r="INU29" s="240"/>
      <c r="INV29" s="239"/>
      <c r="INW29" s="240"/>
      <c r="INX29" s="239"/>
      <c r="INY29" s="240"/>
      <c r="INZ29" s="239"/>
      <c r="IOA29" s="240"/>
      <c r="IOB29" s="239"/>
      <c r="IOC29" s="240"/>
      <c r="IOD29" s="239"/>
      <c r="IOE29" s="240"/>
      <c r="IOF29" s="239"/>
      <c r="IOG29" s="240"/>
      <c r="IOH29" s="239"/>
      <c r="IOI29" s="240"/>
      <c r="IOJ29" s="239"/>
      <c r="IOK29" s="240"/>
      <c r="IOL29" s="239"/>
      <c r="IOM29" s="240"/>
      <c r="ION29" s="239"/>
      <c r="IOO29" s="240"/>
      <c r="IOP29" s="239"/>
      <c r="IOQ29" s="240"/>
      <c r="IOR29" s="239"/>
      <c r="IOS29" s="240"/>
      <c r="IOT29" s="239"/>
      <c r="IOU29" s="240"/>
      <c r="IOV29" s="239"/>
      <c r="IOW29" s="240"/>
      <c r="IOX29" s="239"/>
      <c r="IOY29" s="240"/>
      <c r="IOZ29" s="239"/>
      <c r="IPA29" s="240"/>
      <c r="IPB29" s="239"/>
      <c r="IPC29" s="240"/>
      <c r="IPD29" s="239"/>
      <c r="IPE29" s="240"/>
      <c r="IPF29" s="239"/>
      <c r="IPG29" s="240"/>
      <c r="IPH29" s="239"/>
      <c r="IPI29" s="240"/>
      <c r="IPJ29" s="239"/>
      <c r="IPK29" s="240"/>
      <c r="IPL29" s="239"/>
      <c r="IPM29" s="240"/>
      <c r="IPN29" s="239"/>
      <c r="IPO29" s="240"/>
      <c r="IPP29" s="239"/>
      <c r="IPQ29" s="240"/>
      <c r="IPR29" s="239"/>
      <c r="IPS29" s="240"/>
      <c r="IPT29" s="239"/>
      <c r="IPU29" s="240"/>
      <c r="IPV29" s="239"/>
      <c r="IPW29" s="240"/>
      <c r="IPX29" s="239"/>
      <c r="IPY29" s="240"/>
      <c r="IPZ29" s="239"/>
      <c r="IQA29" s="240"/>
      <c r="IQB29" s="239"/>
      <c r="IQC29" s="240"/>
      <c r="IQD29" s="239"/>
      <c r="IQE29" s="240"/>
      <c r="IQF29" s="239"/>
      <c r="IQG29" s="240"/>
      <c r="IQH29" s="239"/>
      <c r="IQI29" s="240"/>
      <c r="IQJ29" s="239"/>
      <c r="IQK29" s="240"/>
      <c r="IQL29" s="239"/>
      <c r="IQM29" s="240"/>
      <c r="IQN29" s="239"/>
      <c r="IQO29" s="240"/>
      <c r="IQP29" s="239"/>
      <c r="IQQ29" s="240"/>
      <c r="IQR29" s="239"/>
      <c r="IQS29" s="240"/>
      <c r="IQT29" s="239"/>
      <c r="IQU29" s="240"/>
      <c r="IQV29" s="239"/>
      <c r="IQW29" s="240"/>
      <c r="IQX29" s="239"/>
      <c r="IQY29" s="240"/>
      <c r="IQZ29" s="239"/>
      <c r="IRA29" s="240"/>
      <c r="IRB29" s="239"/>
      <c r="IRC29" s="240"/>
      <c r="IRD29" s="239"/>
      <c r="IRE29" s="240"/>
      <c r="IRF29" s="239"/>
      <c r="IRG29" s="240"/>
      <c r="IRH29" s="239"/>
      <c r="IRI29" s="240"/>
      <c r="IRJ29" s="239"/>
      <c r="IRK29" s="240"/>
      <c r="IRL29" s="239"/>
      <c r="IRM29" s="240"/>
      <c r="IRN29" s="239"/>
      <c r="IRO29" s="240"/>
      <c r="IRP29" s="239"/>
      <c r="IRQ29" s="240"/>
      <c r="IRR29" s="239"/>
      <c r="IRS29" s="240"/>
      <c r="IRT29" s="239"/>
      <c r="IRU29" s="240"/>
      <c r="IRV29" s="239"/>
      <c r="IRW29" s="240"/>
      <c r="IRX29" s="239"/>
      <c r="IRY29" s="240"/>
      <c r="IRZ29" s="239"/>
      <c r="ISA29" s="240"/>
      <c r="ISB29" s="239"/>
      <c r="ISC29" s="240"/>
      <c r="ISD29" s="239"/>
      <c r="ISE29" s="240"/>
      <c r="ISF29" s="239"/>
      <c r="ISG29" s="240"/>
      <c r="ISH29" s="239"/>
      <c r="ISI29" s="240"/>
      <c r="ISJ29" s="239"/>
      <c r="ISK29" s="240"/>
      <c r="ISL29" s="239"/>
      <c r="ISM29" s="240"/>
      <c r="ISN29" s="239"/>
      <c r="ISO29" s="240"/>
      <c r="ISP29" s="239"/>
      <c r="ISQ29" s="240"/>
      <c r="ISR29" s="239"/>
      <c r="ISS29" s="240"/>
      <c r="IST29" s="239"/>
      <c r="ISU29" s="240"/>
      <c r="ISV29" s="239"/>
      <c r="ISW29" s="240"/>
      <c r="ISX29" s="239"/>
      <c r="ISY29" s="240"/>
      <c r="ISZ29" s="239"/>
      <c r="ITA29" s="240"/>
      <c r="ITB29" s="239"/>
      <c r="ITC29" s="240"/>
      <c r="ITD29" s="239"/>
      <c r="ITE29" s="240"/>
      <c r="ITF29" s="239"/>
      <c r="ITG29" s="240"/>
      <c r="ITH29" s="239"/>
      <c r="ITI29" s="240"/>
      <c r="ITJ29" s="239"/>
      <c r="ITK29" s="240"/>
      <c r="ITL29" s="239"/>
      <c r="ITM29" s="240"/>
      <c r="ITN29" s="239"/>
      <c r="ITO29" s="240"/>
      <c r="ITP29" s="239"/>
      <c r="ITQ29" s="240"/>
      <c r="ITR29" s="239"/>
      <c r="ITS29" s="240"/>
      <c r="ITT29" s="239"/>
      <c r="ITU29" s="240"/>
      <c r="ITV29" s="239"/>
      <c r="ITW29" s="240"/>
      <c r="ITX29" s="239"/>
      <c r="ITY29" s="240"/>
      <c r="ITZ29" s="239"/>
      <c r="IUA29" s="240"/>
      <c r="IUB29" s="239"/>
      <c r="IUC29" s="240"/>
      <c r="IUD29" s="239"/>
      <c r="IUE29" s="240"/>
      <c r="IUF29" s="239"/>
      <c r="IUG29" s="240"/>
      <c r="IUH29" s="239"/>
      <c r="IUI29" s="240"/>
      <c r="IUJ29" s="239"/>
      <c r="IUK29" s="240"/>
      <c r="IUL29" s="239"/>
      <c r="IUM29" s="240"/>
      <c r="IUN29" s="239"/>
      <c r="IUO29" s="240"/>
      <c r="IUP29" s="239"/>
      <c r="IUQ29" s="240"/>
      <c r="IUR29" s="239"/>
      <c r="IUS29" s="240"/>
      <c r="IUT29" s="239"/>
      <c r="IUU29" s="240"/>
      <c r="IUV29" s="239"/>
      <c r="IUW29" s="240"/>
      <c r="IUX29" s="239"/>
      <c r="IUY29" s="240"/>
      <c r="IUZ29" s="239"/>
      <c r="IVA29" s="240"/>
      <c r="IVB29" s="239"/>
      <c r="IVC29" s="240"/>
      <c r="IVD29" s="239"/>
      <c r="IVE29" s="240"/>
      <c r="IVF29" s="239"/>
      <c r="IVG29" s="240"/>
      <c r="IVH29" s="239"/>
      <c r="IVI29" s="240"/>
      <c r="IVJ29" s="239"/>
      <c r="IVK29" s="240"/>
      <c r="IVL29" s="239"/>
      <c r="IVM29" s="240"/>
      <c r="IVN29" s="239"/>
      <c r="IVO29" s="240"/>
      <c r="IVP29" s="239"/>
      <c r="IVQ29" s="240"/>
      <c r="IVR29" s="239"/>
      <c r="IVS29" s="240"/>
      <c r="IVT29" s="239"/>
      <c r="IVU29" s="240"/>
      <c r="IVV29" s="239"/>
      <c r="IVW29" s="240"/>
      <c r="IVX29" s="239"/>
      <c r="IVY29" s="240"/>
      <c r="IVZ29" s="239"/>
      <c r="IWA29" s="240"/>
      <c r="IWB29" s="239"/>
      <c r="IWC29" s="240"/>
      <c r="IWD29" s="239"/>
      <c r="IWE29" s="240"/>
      <c r="IWF29" s="239"/>
      <c r="IWG29" s="240"/>
      <c r="IWH29" s="239"/>
      <c r="IWI29" s="240"/>
      <c r="IWJ29" s="239"/>
      <c r="IWK29" s="240"/>
      <c r="IWL29" s="239"/>
      <c r="IWM29" s="240"/>
      <c r="IWN29" s="239"/>
      <c r="IWO29" s="240"/>
      <c r="IWP29" s="239"/>
      <c r="IWQ29" s="240"/>
      <c r="IWR29" s="239"/>
      <c r="IWS29" s="240"/>
      <c r="IWT29" s="239"/>
      <c r="IWU29" s="240"/>
      <c r="IWV29" s="239"/>
      <c r="IWW29" s="240"/>
      <c r="IWX29" s="239"/>
      <c r="IWY29" s="240"/>
      <c r="IWZ29" s="239"/>
      <c r="IXA29" s="240"/>
      <c r="IXB29" s="239"/>
      <c r="IXC29" s="240"/>
      <c r="IXD29" s="239"/>
      <c r="IXE29" s="240"/>
      <c r="IXF29" s="239"/>
      <c r="IXG29" s="240"/>
      <c r="IXH29" s="239"/>
      <c r="IXI29" s="240"/>
      <c r="IXJ29" s="239"/>
      <c r="IXK29" s="240"/>
      <c r="IXL29" s="239"/>
      <c r="IXM29" s="240"/>
      <c r="IXN29" s="239"/>
      <c r="IXO29" s="240"/>
      <c r="IXP29" s="239"/>
      <c r="IXQ29" s="240"/>
      <c r="IXR29" s="239"/>
      <c r="IXS29" s="240"/>
      <c r="IXT29" s="239"/>
      <c r="IXU29" s="240"/>
      <c r="IXV29" s="239"/>
      <c r="IXW29" s="240"/>
      <c r="IXX29" s="239"/>
      <c r="IXY29" s="240"/>
      <c r="IXZ29" s="239"/>
      <c r="IYA29" s="240"/>
      <c r="IYB29" s="239"/>
      <c r="IYC29" s="240"/>
      <c r="IYD29" s="239"/>
      <c r="IYE29" s="240"/>
      <c r="IYF29" s="239"/>
      <c r="IYG29" s="240"/>
      <c r="IYH29" s="239"/>
      <c r="IYI29" s="240"/>
      <c r="IYJ29" s="239"/>
      <c r="IYK29" s="240"/>
      <c r="IYL29" s="239"/>
      <c r="IYM29" s="240"/>
      <c r="IYN29" s="239"/>
      <c r="IYO29" s="240"/>
      <c r="IYP29" s="239"/>
      <c r="IYQ29" s="240"/>
      <c r="IYR29" s="239"/>
      <c r="IYS29" s="240"/>
      <c r="IYT29" s="239"/>
      <c r="IYU29" s="240"/>
      <c r="IYV29" s="239"/>
      <c r="IYW29" s="240"/>
      <c r="IYX29" s="239"/>
      <c r="IYY29" s="240"/>
      <c r="IYZ29" s="239"/>
      <c r="IZA29" s="240"/>
      <c r="IZB29" s="239"/>
      <c r="IZC29" s="240"/>
      <c r="IZD29" s="239"/>
      <c r="IZE29" s="240"/>
      <c r="IZF29" s="239"/>
      <c r="IZG29" s="240"/>
      <c r="IZH29" s="239"/>
      <c r="IZI29" s="240"/>
      <c r="IZJ29" s="239"/>
      <c r="IZK29" s="240"/>
      <c r="IZL29" s="239"/>
      <c r="IZM29" s="240"/>
      <c r="IZN29" s="239"/>
      <c r="IZO29" s="240"/>
      <c r="IZP29" s="239"/>
      <c r="IZQ29" s="240"/>
      <c r="IZR29" s="239"/>
      <c r="IZS29" s="240"/>
      <c r="IZT29" s="239"/>
      <c r="IZU29" s="240"/>
      <c r="IZV29" s="239"/>
      <c r="IZW29" s="240"/>
      <c r="IZX29" s="239"/>
      <c r="IZY29" s="240"/>
      <c r="IZZ29" s="239"/>
      <c r="JAA29" s="240"/>
      <c r="JAB29" s="239"/>
      <c r="JAC29" s="240"/>
      <c r="JAD29" s="239"/>
      <c r="JAE29" s="240"/>
      <c r="JAF29" s="239"/>
      <c r="JAG29" s="240"/>
      <c r="JAH29" s="239"/>
      <c r="JAI29" s="240"/>
      <c r="JAJ29" s="239"/>
      <c r="JAK29" s="240"/>
      <c r="JAL29" s="239"/>
      <c r="JAM29" s="240"/>
      <c r="JAN29" s="239"/>
      <c r="JAO29" s="240"/>
      <c r="JAP29" s="239"/>
      <c r="JAQ29" s="240"/>
      <c r="JAR29" s="239"/>
      <c r="JAS29" s="240"/>
      <c r="JAT29" s="239"/>
      <c r="JAU29" s="240"/>
      <c r="JAV29" s="239"/>
      <c r="JAW29" s="240"/>
      <c r="JAX29" s="239"/>
      <c r="JAY29" s="240"/>
      <c r="JAZ29" s="239"/>
      <c r="JBA29" s="240"/>
      <c r="JBB29" s="239"/>
      <c r="JBC29" s="240"/>
      <c r="JBD29" s="239"/>
      <c r="JBE29" s="240"/>
      <c r="JBF29" s="239"/>
      <c r="JBG29" s="240"/>
      <c r="JBH29" s="239"/>
      <c r="JBI29" s="240"/>
      <c r="JBJ29" s="239"/>
      <c r="JBK29" s="240"/>
      <c r="JBL29" s="239"/>
      <c r="JBM29" s="240"/>
      <c r="JBN29" s="239"/>
      <c r="JBO29" s="240"/>
      <c r="JBP29" s="239"/>
      <c r="JBQ29" s="240"/>
      <c r="JBR29" s="239"/>
      <c r="JBS29" s="240"/>
      <c r="JBT29" s="239"/>
      <c r="JBU29" s="240"/>
      <c r="JBV29" s="239"/>
      <c r="JBW29" s="240"/>
      <c r="JBX29" s="239"/>
      <c r="JBY29" s="240"/>
      <c r="JBZ29" s="239"/>
      <c r="JCA29" s="240"/>
      <c r="JCB29" s="239"/>
      <c r="JCC29" s="240"/>
      <c r="JCD29" s="239"/>
      <c r="JCE29" s="240"/>
      <c r="JCF29" s="239"/>
      <c r="JCG29" s="240"/>
      <c r="JCH29" s="239"/>
      <c r="JCI29" s="240"/>
      <c r="JCJ29" s="239"/>
      <c r="JCK29" s="240"/>
      <c r="JCL29" s="239"/>
      <c r="JCM29" s="240"/>
      <c r="JCN29" s="239"/>
      <c r="JCO29" s="240"/>
      <c r="JCP29" s="239"/>
      <c r="JCQ29" s="240"/>
      <c r="JCR29" s="239"/>
      <c r="JCS29" s="240"/>
      <c r="JCT29" s="239"/>
      <c r="JCU29" s="240"/>
      <c r="JCV29" s="239"/>
      <c r="JCW29" s="240"/>
      <c r="JCX29" s="239"/>
      <c r="JCY29" s="240"/>
      <c r="JCZ29" s="239"/>
      <c r="JDA29" s="240"/>
      <c r="JDB29" s="239"/>
      <c r="JDC29" s="240"/>
      <c r="JDD29" s="239"/>
      <c r="JDE29" s="240"/>
      <c r="JDF29" s="239"/>
      <c r="JDG29" s="240"/>
      <c r="JDH29" s="239"/>
      <c r="JDI29" s="240"/>
      <c r="JDJ29" s="239"/>
      <c r="JDK29" s="240"/>
      <c r="JDL29" s="239"/>
      <c r="JDM29" s="240"/>
      <c r="JDN29" s="239"/>
      <c r="JDO29" s="240"/>
      <c r="JDP29" s="239"/>
      <c r="JDQ29" s="240"/>
      <c r="JDR29" s="239"/>
      <c r="JDS29" s="240"/>
      <c r="JDT29" s="239"/>
      <c r="JDU29" s="240"/>
      <c r="JDV29" s="239"/>
      <c r="JDW29" s="240"/>
      <c r="JDX29" s="239"/>
      <c r="JDY29" s="240"/>
      <c r="JDZ29" s="239"/>
      <c r="JEA29" s="240"/>
      <c r="JEB29" s="239"/>
      <c r="JEC29" s="240"/>
      <c r="JED29" s="239"/>
      <c r="JEE29" s="240"/>
      <c r="JEF29" s="239"/>
      <c r="JEG29" s="240"/>
      <c r="JEH29" s="239"/>
      <c r="JEI29" s="240"/>
      <c r="JEJ29" s="239"/>
      <c r="JEK29" s="240"/>
      <c r="JEL29" s="239"/>
      <c r="JEM29" s="240"/>
      <c r="JEN29" s="239"/>
      <c r="JEO29" s="240"/>
      <c r="JEP29" s="239"/>
      <c r="JEQ29" s="240"/>
      <c r="JER29" s="239"/>
      <c r="JES29" s="240"/>
      <c r="JET29" s="239"/>
      <c r="JEU29" s="240"/>
      <c r="JEV29" s="239"/>
      <c r="JEW29" s="240"/>
      <c r="JEX29" s="239"/>
      <c r="JEY29" s="240"/>
      <c r="JEZ29" s="239"/>
      <c r="JFA29" s="240"/>
      <c r="JFB29" s="239"/>
      <c r="JFC29" s="240"/>
      <c r="JFD29" s="239"/>
      <c r="JFE29" s="240"/>
      <c r="JFF29" s="239"/>
      <c r="JFG29" s="240"/>
      <c r="JFH29" s="239"/>
      <c r="JFI29" s="240"/>
      <c r="JFJ29" s="239"/>
      <c r="JFK29" s="240"/>
      <c r="JFL29" s="239"/>
      <c r="JFM29" s="240"/>
      <c r="JFN29" s="239"/>
      <c r="JFO29" s="240"/>
      <c r="JFP29" s="239"/>
      <c r="JFQ29" s="240"/>
      <c r="JFR29" s="239"/>
      <c r="JFS29" s="240"/>
      <c r="JFT29" s="239"/>
      <c r="JFU29" s="240"/>
      <c r="JFV29" s="239"/>
      <c r="JFW29" s="240"/>
      <c r="JFX29" s="239"/>
      <c r="JFY29" s="240"/>
      <c r="JFZ29" s="239"/>
      <c r="JGA29" s="240"/>
      <c r="JGB29" s="239"/>
      <c r="JGC29" s="240"/>
      <c r="JGD29" s="239"/>
      <c r="JGE29" s="240"/>
      <c r="JGF29" s="239"/>
      <c r="JGG29" s="240"/>
      <c r="JGH29" s="239"/>
      <c r="JGI29" s="240"/>
      <c r="JGJ29" s="239"/>
      <c r="JGK29" s="240"/>
      <c r="JGL29" s="239"/>
      <c r="JGM29" s="240"/>
      <c r="JGN29" s="239"/>
      <c r="JGO29" s="240"/>
      <c r="JGP29" s="239"/>
      <c r="JGQ29" s="240"/>
      <c r="JGR29" s="239"/>
      <c r="JGS29" s="240"/>
      <c r="JGT29" s="239"/>
      <c r="JGU29" s="240"/>
      <c r="JGV29" s="239"/>
      <c r="JGW29" s="240"/>
      <c r="JGX29" s="239"/>
      <c r="JGY29" s="240"/>
      <c r="JGZ29" s="239"/>
      <c r="JHA29" s="240"/>
      <c r="JHB29" s="239"/>
      <c r="JHC29" s="240"/>
      <c r="JHD29" s="239"/>
      <c r="JHE29" s="240"/>
      <c r="JHF29" s="239"/>
      <c r="JHG29" s="240"/>
      <c r="JHH29" s="239"/>
      <c r="JHI29" s="240"/>
      <c r="JHJ29" s="239"/>
      <c r="JHK29" s="240"/>
      <c r="JHL29" s="239"/>
      <c r="JHM29" s="240"/>
      <c r="JHN29" s="239"/>
      <c r="JHO29" s="240"/>
      <c r="JHP29" s="239"/>
      <c r="JHQ29" s="240"/>
      <c r="JHR29" s="239"/>
      <c r="JHS29" s="240"/>
      <c r="JHT29" s="239"/>
      <c r="JHU29" s="240"/>
      <c r="JHV29" s="239"/>
      <c r="JHW29" s="240"/>
      <c r="JHX29" s="239"/>
      <c r="JHY29" s="240"/>
      <c r="JHZ29" s="239"/>
      <c r="JIA29" s="240"/>
      <c r="JIB29" s="239"/>
      <c r="JIC29" s="240"/>
      <c r="JID29" s="239"/>
      <c r="JIE29" s="240"/>
      <c r="JIF29" s="239"/>
      <c r="JIG29" s="240"/>
      <c r="JIH29" s="239"/>
      <c r="JII29" s="240"/>
      <c r="JIJ29" s="239"/>
      <c r="JIK29" s="240"/>
      <c r="JIL29" s="239"/>
      <c r="JIM29" s="240"/>
      <c r="JIN29" s="239"/>
      <c r="JIO29" s="240"/>
      <c r="JIP29" s="239"/>
      <c r="JIQ29" s="240"/>
      <c r="JIR29" s="239"/>
      <c r="JIS29" s="240"/>
      <c r="JIT29" s="239"/>
      <c r="JIU29" s="240"/>
      <c r="JIV29" s="239"/>
      <c r="JIW29" s="240"/>
      <c r="JIX29" s="239"/>
      <c r="JIY29" s="240"/>
      <c r="JIZ29" s="239"/>
      <c r="JJA29" s="240"/>
      <c r="JJB29" s="239"/>
      <c r="JJC29" s="240"/>
      <c r="JJD29" s="239"/>
      <c r="JJE29" s="240"/>
      <c r="JJF29" s="239"/>
      <c r="JJG29" s="240"/>
      <c r="JJH29" s="239"/>
      <c r="JJI29" s="240"/>
      <c r="JJJ29" s="239"/>
      <c r="JJK29" s="240"/>
      <c r="JJL29" s="239"/>
      <c r="JJM29" s="240"/>
      <c r="JJN29" s="239"/>
      <c r="JJO29" s="240"/>
      <c r="JJP29" s="239"/>
      <c r="JJQ29" s="240"/>
      <c r="JJR29" s="239"/>
      <c r="JJS29" s="240"/>
      <c r="JJT29" s="239"/>
      <c r="JJU29" s="240"/>
      <c r="JJV29" s="239"/>
      <c r="JJW29" s="240"/>
      <c r="JJX29" s="239"/>
      <c r="JJY29" s="240"/>
      <c r="JJZ29" s="239"/>
      <c r="JKA29" s="240"/>
      <c r="JKB29" s="239"/>
      <c r="JKC29" s="240"/>
      <c r="JKD29" s="239"/>
      <c r="JKE29" s="240"/>
      <c r="JKF29" s="239"/>
      <c r="JKG29" s="240"/>
      <c r="JKH29" s="239"/>
      <c r="JKI29" s="240"/>
      <c r="JKJ29" s="239"/>
      <c r="JKK29" s="240"/>
      <c r="JKL29" s="239"/>
      <c r="JKM29" s="240"/>
      <c r="JKN29" s="239"/>
      <c r="JKO29" s="240"/>
      <c r="JKP29" s="239"/>
      <c r="JKQ29" s="240"/>
      <c r="JKR29" s="239"/>
      <c r="JKS29" s="240"/>
      <c r="JKT29" s="239"/>
      <c r="JKU29" s="240"/>
      <c r="JKV29" s="239"/>
      <c r="JKW29" s="240"/>
      <c r="JKX29" s="239"/>
      <c r="JKY29" s="240"/>
      <c r="JKZ29" s="239"/>
      <c r="JLA29" s="240"/>
      <c r="JLB29" s="239"/>
      <c r="JLC29" s="240"/>
      <c r="JLD29" s="239"/>
      <c r="JLE29" s="240"/>
      <c r="JLF29" s="239"/>
      <c r="JLG29" s="240"/>
      <c r="JLH29" s="239"/>
      <c r="JLI29" s="240"/>
      <c r="JLJ29" s="239"/>
      <c r="JLK29" s="240"/>
      <c r="JLL29" s="239"/>
      <c r="JLM29" s="240"/>
      <c r="JLN29" s="239"/>
      <c r="JLO29" s="240"/>
      <c r="JLP29" s="239"/>
      <c r="JLQ29" s="240"/>
      <c r="JLR29" s="239"/>
      <c r="JLS29" s="240"/>
      <c r="JLT29" s="239"/>
      <c r="JLU29" s="240"/>
      <c r="JLV29" s="239"/>
      <c r="JLW29" s="240"/>
      <c r="JLX29" s="239"/>
      <c r="JLY29" s="240"/>
      <c r="JLZ29" s="239"/>
      <c r="JMA29" s="240"/>
      <c r="JMB29" s="239"/>
      <c r="JMC29" s="240"/>
      <c r="JMD29" s="239"/>
      <c r="JME29" s="240"/>
      <c r="JMF29" s="239"/>
      <c r="JMG29" s="240"/>
      <c r="JMH29" s="239"/>
      <c r="JMI29" s="240"/>
      <c r="JMJ29" s="239"/>
      <c r="JMK29" s="240"/>
      <c r="JML29" s="239"/>
      <c r="JMM29" s="240"/>
      <c r="JMN29" s="239"/>
      <c r="JMO29" s="240"/>
      <c r="JMP29" s="239"/>
      <c r="JMQ29" s="240"/>
      <c r="JMR29" s="239"/>
      <c r="JMS29" s="240"/>
      <c r="JMT29" s="239"/>
      <c r="JMU29" s="240"/>
      <c r="JMV29" s="239"/>
      <c r="JMW29" s="240"/>
      <c r="JMX29" s="239"/>
      <c r="JMY29" s="240"/>
      <c r="JMZ29" s="239"/>
      <c r="JNA29" s="240"/>
      <c r="JNB29" s="239"/>
      <c r="JNC29" s="240"/>
      <c r="JND29" s="239"/>
      <c r="JNE29" s="240"/>
      <c r="JNF29" s="239"/>
      <c r="JNG29" s="240"/>
      <c r="JNH29" s="239"/>
      <c r="JNI29" s="240"/>
      <c r="JNJ29" s="239"/>
      <c r="JNK29" s="240"/>
      <c r="JNL29" s="239"/>
      <c r="JNM29" s="240"/>
      <c r="JNN29" s="239"/>
      <c r="JNO29" s="240"/>
      <c r="JNP29" s="239"/>
      <c r="JNQ29" s="240"/>
      <c r="JNR29" s="239"/>
      <c r="JNS29" s="240"/>
      <c r="JNT29" s="239"/>
      <c r="JNU29" s="240"/>
      <c r="JNV29" s="239"/>
      <c r="JNW29" s="240"/>
      <c r="JNX29" s="239"/>
      <c r="JNY29" s="240"/>
      <c r="JNZ29" s="239"/>
      <c r="JOA29" s="240"/>
      <c r="JOB29" s="239"/>
      <c r="JOC29" s="240"/>
      <c r="JOD29" s="239"/>
      <c r="JOE29" s="240"/>
      <c r="JOF29" s="239"/>
      <c r="JOG29" s="240"/>
      <c r="JOH29" s="239"/>
      <c r="JOI29" s="240"/>
      <c r="JOJ29" s="239"/>
      <c r="JOK29" s="240"/>
      <c r="JOL29" s="239"/>
      <c r="JOM29" s="240"/>
      <c r="JON29" s="239"/>
      <c r="JOO29" s="240"/>
      <c r="JOP29" s="239"/>
      <c r="JOQ29" s="240"/>
      <c r="JOR29" s="239"/>
      <c r="JOS29" s="240"/>
      <c r="JOT29" s="239"/>
      <c r="JOU29" s="240"/>
      <c r="JOV29" s="239"/>
      <c r="JOW29" s="240"/>
      <c r="JOX29" s="239"/>
      <c r="JOY29" s="240"/>
      <c r="JOZ29" s="239"/>
      <c r="JPA29" s="240"/>
      <c r="JPB29" s="239"/>
      <c r="JPC29" s="240"/>
      <c r="JPD29" s="239"/>
      <c r="JPE29" s="240"/>
      <c r="JPF29" s="239"/>
      <c r="JPG29" s="240"/>
      <c r="JPH29" s="239"/>
      <c r="JPI29" s="240"/>
      <c r="JPJ29" s="239"/>
      <c r="JPK29" s="240"/>
      <c r="JPL29" s="239"/>
      <c r="JPM29" s="240"/>
      <c r="JPN29" s="239"/>
      <c r="JPO29" s="240"/>
      <c r="JPP29" s="239"/>
      <c r="JPQ29" s="240"/>
      <c r="JPR29" s="239"/>
      <c r="JPS29" s="240"/>
      <c r="JPT29" s="239"/>
      <c r="JPU29" s="240"/>
      <c r="JPV29" s="239"/>
      <c r="JPW29" s="240"/>
      <c r="JPX29" s="239"/>
      <c r="JPY29" s="240"/>
      <c r="JPZ29" s="239"/>
      <c r="JQA29" s="240"/>
      <c r="JQB29" s="239"/>
      <c r="JQC29" s="240"/>
      <c r="JQD29" s="239"/>
      <c r="JQE29" s="240"/>
      <c r="JQF29" s="239"/>
      <c r="JQG29" s="240"/>
      <c r="JQH29" s="239"/>
      <c r="JQI29" s="240"/>
      <c r="JQJ29" s="239"/>
      <c r="JQK29" s="240"/>
      <c r="JQL29" s="239"/>
      <c r="JQM29" s="240"/>
      <c r="JQN29" s="239"/>
      <c r="JQO29" s="240"/>
      <c r="JQP29" s="239"/>
      <c r="JQQ29" s="240"/>
      <c r="JQR29" s="239"/>
      <c r="JQS29" s="240"/>
      <c r="JQT29" s="239"/>
      <c r="JQU29" s="240"/>
      <c r="JQV29" s="239"/>
      <c r="JQW29" s="240"/>
      <c r="JQX29" s="239"/>
      <c r="JQY29" s="240"/>
      <c r="JQZ29" s="239"/>
      <c r="JRA29" s="240"/>
      <c r="JRB29" s="239"/>
      <c r="JRC29" s="240"/>
      <c r="JRD29" s="239"/>
      <c r="JRE29" s="240"/>
      <c r="JRF29" s="239"/>
      <c r="JRG29" s="240"/>
      <c r="JRH29" s="239"/>
      <c r="JRI29" s="240"/>
      <c r="JRJ29" s="239"/>
      <c r="JRK29" s="240"/>
      <c r="JRL29" s="239"/>
      <c r="JRM29" s="240"/>
      <c r="JRN29" s="239"/>
      <c r="JRO29" s="240"/>
      <c r="JRP29" s="239"/>
      <c r="JRQ29" s="240"/>
      <c r="JRR29" s="239"/>
      <c r="JRS29" s="240"/>
      <c r="JRT29" s="239"/>
      <c r="JRU29" s="240"/>
      <c r="JRV29" s="239"/>
      <c r="JRW29" s="240"/>
      <c r="JRX29" s="239"/>
      <c r="JRY29" s="240"/>
      <c r="JRZ29" s="239"/>
      <c r="JSA29" s="240"/>
      <c r="JSB29" s="239"/>
      <c r="JSC29" s="240"/>
      <c r="JSD29" s="239"/>
      <c r="JSE29" s="240"/>
      <c r="JSF29" s="239"/>
      <c r="JSG29" s="240"/>
      <c r="JSH29" s="239"/>
      <c r="JSI29" s="240"/>
      <c r="JSJ29" s="239"/>
      <c r="JSK29" s="240"/>
      <c r="JSL29" s="239"/>
      <c r="JSM29" s="240"/>
      <c r="JSN29" s="239"/>
      <c r="JSO29" s="240"/>
      <c r="JSP29" s="239"/>
      <c r="JSQ29" s="240"/>
      <c r="JSR29" s="239"/>
      <c r="JSS29" s="240"/>
      <c r="JST29" s="239"/>
      <c r="JSU29" s="240"/>
      <c r="JSV29" s="239"/>
      <c r="JSW29" s="240"/>
      <c r="JSX29" s="239"/>
      <c r="JSY29" s="240"/>
      <c r="JSZ29" s="239"/>
      <c r="JTA29" s="240"/>
      <c r="JTB29" s="239"/>
      <c r="JTC29" s="240"/>
      <c r="JTD29" s="239"/>
      <c r="JTE29" s="240"/>
      <c r="JTF29" s="239"/>
      <c r="JTG29" s="240"/>
      <c r="JTH29" s="239"/>
      <c r="JTI29" s="240"/>
      <c r="JTJ29" s="239"/>
      <c r="JTK29" s="240"/>
      <c r="JTL29" s="239"/>
      <c r="JTM29" s="240"/>
      <c r="JTN29" s="239"/>
      <c r="JTO29" s="240"/>
      <c r="JTP29" s="239"/>
      <c r="JTQ29" s="240"/>
      <c r="JTR29" s="239"/>
      <c r="JTS29" s="240"/>
      <c r="JTT29" s="239"/>
      <c r="JTU29" s="240"/>
      <c r="JTV29" s="239"/>
      <c r="JTW29" s="240"/>
      <c r="JTX29" s="239"/>
      <c r="JTY29" s="240"/>
      <c r="JTZ29" s="239"/>
      <c r="JUA29" s="240"/>
      <c r="JUB29" s="239"/>
      <c r="JUC29" s="240"/>
      <c r="JUD29" s="239"/>
      <c r="JUE29" s="240"/>
      <c r="JUF29" s="239"/>
      <c r="JUG29" s="240"/>
      <c r="JUH29" s="239"/>
      <c r="JUI29" s="240"/>
      <c r="JUJ29" s="239"/>
      <c r="JUK29" s="240"/>
      <c r="JUL29" s="239"/>
      <c r="JUM29" s="240"/>
      <c r="JUN29" s="239"/>
      <c r="JUO29" s="240"/>
      <c r="JUP29" s="239"/>
      <c r="JUQ29" s="240"/>
      <c r="JUR29" s="239"/>
      <c r="JUS29" s="240"/>
      <c r="JUT29" s="239"/>
      <c r="JUU29" s="240"/>
      <c r="JUV29" s="239"/>
      <c r="JUW29" s="240"/>
      <c r="JUX29" s="239"/>
      <c r="JUY29" s="240"/>
      <c r="JUZ29" s="239"/>
      <c r="JVA29" s="240"/>
      <c r="JVB29" s="239"/>
      <c r="JVC29" s="240"/>
      <c r="JVD29" s="239"/>
      <c r="JVE29" s="240"/>
      <c r="JVF29" s="239"/>
      <c r="JVG29" s="240"/>
      <c r="JVH29" s="239"/>
      <c r="JVI29" s="240"/>
      <c r="JVJ29" s="239"/>
      <c r="JVK29" s="240"/>
      <c r="JVL29" s="239"/>
      <c r="JVM29" s="240"/>
      <c r="JVN29" s="239"/>
      <c r="JVO29" s="240"/>
      <c r="JVP29" s="239"/>
      <c r="JVQ29" s="240"/>
      <c r="JVR29" s="239"/>
      <c r="JVS29" s="240"/>
      <c r="JVT29" s="239"/>
      <c r="JVU29" s="240"/>
      <c r="JVV29" s="239"/>
      <c r="JVW29" s="240"/>
      <c r="JVX29" s="239"/>
      <c r="JVY29" s="240"/>
      <c r="JVZ29" s="239"/>
      <c r="JWA29" s="240"/>
      <c r="JWB29" s="239"/>
      <c r="JWC29" s="240"/>
      <c r="JWD29" s="239"/>
      <c r="JWE29" s="240"/>
      <c r="JWF29" s="239"/>
      <c r="JWG29" s="240"/>
      <c r="JWH29" s="239"/>
      <c r="JWI29" s="240"/>
      <c r="JWJ29" s="239"/>
      <c r="JWK29" s="240"/>
      <c r="JWL29" s="239"/>
      <c r="JWM29" s="240"/>
      <c r="JWN29" s="239"/>
      <c r="JWO29" s="240"/>
      <c r="JWP29" s="239"/>
      <c r="JWQ29" s="240"/>
      <c r="JWR29" s="239"/>
      <c r="JWS29" s="240"/>
      <c r="JWT29" s="239"/>
      <c r="JWU29" s="240"/>
      <c r="JWV29" s="239"/>
      <c r="JWW29" s="240"/>
      <c r="JWX29" s="239"/>
      <c r="JWY29" s="240"/>
      <c r="JWZ29" s="239"/>
      <c r="JXA29" s="240"/>
      <c r="JXB29" s="239"/>
      <c r="JXC29" s="240"/>
      <c r="JXD29" s="239"/>
      <c r="JXE29" s="240"/>
      <c r="JXF29" s="239"/>
      <c r="JXG29" s="240"/>
      <c r="JXH29" s="239"/>
      <c r="JXI29" s="240"/>
      <c r="JXJ29" s="239"/>
      <c r="JXK29" s="240"/>
      <c r="JXL29" s="239"/>
      <c r="JXM29" s="240"/>
      <c r="JXN29" s="239"/>
      <c r="JXO29" s="240"/>
      <c r="JXP29" s="239"/>
      <c r="JXQ29" s="240"/>
      <c r="JXR29" s="239"/>
      <c r="JXS29" s="240"/>
      <c r="JXT29" s="239"/>
      <c r="JXU29" s="240"/>
      <c r="JXV29" s="239"/>
      <c r="JXW29" s="240"/>
      <c r="JXX29" s="239"/>
      <c r="JXY29" s="240"/>
      <c r="JXZ29" s="239"/>
      <c r="JYA29" s="240"/>
      <c r="JYB29" s="239"/>
      <c r="JYC29" s="240"/>
      <c r="JYD29" s="239"/>
      <c r="JYE29" s="240"/>
      <c r="JYF29" s="239"/>
      <c r="JYG29" s="240"/>
      <c r="JYH29" s="239"/>
      <c r="JYI29" s="240"/>
      <c r="JYJ29" s="239"/>
      <c r="JYK29" s="240"/>
      <c r="JYL29" s="239"/>
      <c r="JYM29" s="240"/>
      <c r="JYN29" s="239"/>
      <c r="JYO29" s="240"/>
      <c r="JYP29" s="239"/>
      <c r="JYQ29" s="240"/>
      <c r="JYR29" s="239"/>
      <c r="JYS29" s="240"/>
      <c r="JYT29" s="239"/>
      <c r="JYU29" s="240"/>
      <c r="JYV29" s="239"/>
      <c r="JYW29" s="240"/>
      <c r="JYX29" s="239"/>
      <c r="JYY29" s="240"/>
      <c r="JYZ29" s="239"/>
      <c r="JZA29" s="240"/>
      <c r="JZB29" s="239"/>
      <c r="JZC29" s="240"/>
      <c r="JZD29" s="239"/>
      <c r="JZE29" s="240"/>
      <c r="JZF29" s="239"/>
      <c r="JZG29" s="240"/>
      <c r="JZH29" s="239"/>
      <c r="JZI29" s="240"/>
      <c r="JZJ29" s="239"/>
      <c r="JZK29" s="240"/>
      <c r="JZL29" s="239"/>
      <c r="JZM29" s="240"/>
      <c r="JZN29" s="239"/>
      <c r="JZO29" s="240"/>
      <c r="JZP29" s="239"/>
      <c r="JZQ29" s="240"/>
      <c r="JZR29" s="239"/>
      <c r="JZS29" s="240"/>
      <c r="JZT29" s="239"/>
      <c r="JZU29" s="240"/>
      <c r="JZV29" s="239"/>
      <c r="JZW29" s="240"/>
      <c r="JZX29" s="239"/>
      <c r="JZY29" s="240"/>
      <c r="JZZ29" s="239"/>
      <c r="KAA29" s="240"/>
      <c r="KAB29" s="239"/>
      <c r="KAC29" s="240"/>
      <c r="KAD29" s="239"/>
      <c r="KAE29" s="240"/>
      <c r="KAF29" s="239"/>
      <c r="KAG29" s="240"/>
      <c r="KAH29" s="239"/>
      <c r="KAI29" s="240"/>
      <c r="KAJ29" s="239"/>
      <c r="KAK29" s="240"/>
      <c r="KAL29" s="239"/>
      <c r="KAM29" s="240"/>
      <c r="KAN29" s="239"/>
      <c r="KAO29" s="240"/>
      <c r="KAP29" s="239"/>
      <c r="KAQ29" s="240"/>
      <c r="KAR29" s="239"/>
      <c r="KAS29" s="240"/>
      <c r="KAT29" s="239"/>
      <c r="KAU29" s="240"/>
      <c r="KAV29" s="239"/>
      <c r="KAW29" s="240"/>
      <c r="KAX29" s="239"/>
      <c r="KAY29" s="240"/>
      <c r="KAZ29" s="239"/>
      <c r="KBA29" s="240"/>
      <c r="KBB29" s="239"/>
      <c r="KBC29" s="240"/>
      <c r="KBD29" s="239"/>
      <c r="KBE29" s="240"/>
      <c r="KBF29" s="239"/>
      <c r="KBG29" s="240"/>
      <c r="KBH29" s="239"/>
      <c r="KBI29" s="240"/>
      <c r="KBJ29" s="239"/>
      <c r="KBK29" s="240"/>
      <c r="KBL29" s="239"/>
      <c r="KBM29" s="240"/>
      <c r="KBN29" s="239"/>
      <c r="KBO29" s="240"/>
      <c r="KBP29" s="239"/>
      <c r="KBQ29" s="240"/>
      <c r="KBR29" s="239"/>
      <c r="KBS29" s="240"/>
      <c r="KBT29" s="239"/>
      <c r="KBU29" s="240"/>
      <c r="KBV29" s="239"/>
      <c r="KBW29" s="240"/>
      <c r="KBX29" s="239"/>
      <c r="KBY29" s="240"/>
      <c r="KBZ29" s="239"/>
      <c r="KCA29" s="240"/>
      <c r="KCB29" s="239"/>
      <c r="KCC29" s="240"/>
      <c r="KCD29" s="239"/>
      <c r="KCE29" s="240"/>
      <c r="KCF29" s="239"/>
      <c r="KCG29" s="240"/>
      <c r="KCH29" s="239"/>
      <c r="KCI29" s="240"/>
      <c r="KCJ29" s="239"/>
      <c r="KCK29" s="240"/>
      <c r="KCL29" s="239"/>
      <c r="KCM29" s="240"/>
      <c r="KCN29" s="239"/>
      <c r="KCO29" s="240"/>
      <c r="KCP29" s="239"/>
      <c r="KCQ29" s="240"/>
      <c r="KCR29" s="239"/>
      <c r="KCS29" s="240"/>
      <c r="KCT29" s="239"/>
      <c r="KCU29" s="240"/>
      <c r="KCV29" s="239"/>
      <c r="KCW29" s="240"/>
      <c r="KCX29" s="239"/>
      <c r="KCY29" s="240"/>
      <c r="KCZ29" s="239"/>
      <c r="KDA29" s="240"/>
      <c r="KDB29" s="239"/>
      <c r="KDC29" s="240"/>
      <c r="KDD29" s="239"/>
      <c r="KDE29" s="240"/>
      <c r="KDF29" s="239"/>
      <c r="KDG29" s="240"/>
      <c r="KDH29" s="239"/>
      <c r="KDI29" s="240"/>
      <c r="KDJ29" s="239"/>
      <c r="KDK29" s="240"/>
      <c r="KDL29" s="239"/>
      <c r="KDM29" s="240"/>
      <c r="KDN29" s="239"/>
      <c r="KDO29" s="240"/>
      <c r="KDP29" s="239"/>
      <c r="KDQ29" s="240"/>
      <c r="KDR29" s="239"/>
      <c r="KDS29" s="240"/>
      <c r="KDT29" s="239"/>
      <c r="KDU29" s="240"/>
      <c r="KDV29" s="239"/>
      <c r="KDW29" s="240"/>
      <c r="KDX29" s="239"/>
      <c r="KDY29" s="240"/>
      <c r="KDZ29" s="239"/>
      <c r="KEA29" s="240"/>
      <c r="KEB29" s="239"/>
      <c r="KEC29" s="240"/>
      <c r="KED29" s="239"/>
      <c r="KEE29" s="240"/>
      <c r="KEF29" s="239"/>
      <c r="KEG29" s="240"/>
      <c r="KEH29" s="239"/>
      <c r="KEI29" s="240"/>
      <c r="KEJ29" s="239"/>
      <c r="KEK29" s="240"/>
      <c r="KEL29" s="239"/>
      <c r="KEM29" s="240"/>
      <c r="KEN29" s="239"/>
      <c r="KEO29" s="240"/>
      <c r="KEP29" s="239"/>
      <c r="KEQ29" s="240"/>
      <c r="KER29" s="239"/>
      <c r="KES29" s="240"/>
      <c r="KET29" s="239"/>
      <c r="KEU29" s="240"/>
      <c r="KEV29" s="239"/>
      <c r="KEW29" s="240"/>
      <c r="KEX29" s="239"/>
      <c r="KEY29" s="240"/>
      <c r="KEZ29" s="239"/>
      <c r="KFA29" s="240"/>
      <c r="KFB29" s="239"/>
      <c r="KFC29" s="240"/>
      <c r="KFD29" s="239"/>
      <c r="KFE29" s="240"/>
      <c r="KFF29" s="239"/>
      <c r="KFG29" s="240"/>
      <c r="KFH29" s="239"/>
      <c r="KFI29" s="240"/>
      <c r="KFJ29" s="239"/>
      <c r="KFK29" s="240"/>
      <c r="KFL29" s="239"/>
      <c r="KFM29" s="240"/>
      <c r="KFN29" s="239"/>
      <c r="KFO29" s="240"/>
      <c r="KFP29" s="239"/>
      <c r="KFQ29" s="240"/>
      <c r="KFR29" s="239"/>
      <c r="KFS29" s="240"/>
      <c r="KFT29" s="239"/>
      <c r="KFU29" s="240"/>
      <c r="KFV29" s="239"/>
      <c r="KFW29" s="240"/>
      <c r="KFX29" s="239"/>
      <c r="KFY29" s="240"/>
      <c r="KFZ29" s="239"/>
      <c r="KGA29" s="240"/>
      <c r="KGB29" s="239"/>
      <c r="KGC29" s="240"/>
      <c r="KGD29" s="239"/>
      <c r="KGE29" s="240"/>
      <c r="KGF29" s="239"/>
      <c r="KGG29" s="240"/>
      <c r="KGH29" s="239"/>
      <c r="KGI29" s="240"/>
      <c r="KGJ29" s="239"/>
      <c r="KGK29" s="240"/>
      <c r="KGL29" s="239"/>
      <c r="KGM29" s="240"/>
      <c r="KGN29" s="239"/>
      <c r="KGO29" s="240"/>
      <c r="KGP29" s="239"/>
      <c r="KGQ29" s="240"/>
      <c r="KGR29" s="239"/>
      <c r="KGS29" s="240"/>
      <c r="KGT29" s="239"/>
      <c r="KGU29" s="240"/>
      <c r="KGV29" s="239"/>
      <c r="KGW29" s="240"/>
      <c r="KGX29" s="239"/>
      <c r="KGY29" s="240"/>
      <c r="KGZ29" s="239"/>
      <c r="KHA29" s="240"/>
      <c r="KHB29" s="239"/>
      <c r="KHC29" s="240"/>
      <c r="KHD29" s="239"/>
      <c r="KHE29" s="240"/>
      <c r="KHF29" s="239"/>
      <c r="KHG29" s="240"/>
      <c r="KHH29" s="239"/>
      <c r="KHI29" s="240"/>
      <c r="KHJ29" s="239"/>
      <c r="KHK29" s="240"/>
      <c r="KHL29" s="239"/>
      <c r="KHM29" s="240"/>
      <c r="KHN29" s="239"/>
      <c r="KHO29" s="240"/>
      <c r="KHP29" s="239"/>
      <c r="KHQ29" s="240"/>
      <c r="KHR29" s="239"/>
      <c r="KHS29" s="240"/>
      <c r="KHT29" s="239"/>
      <c r="KHU29" s="240"/>
      <c r="KHV29" s="239"/>
      <c r="KHW29" s="240"/>
      <c r="KHX29" s="239"/>
      <c r="KHY29" s="240"/>
      <c r="KHZ29" s="239"/>
      <c r="KIA29" s="240"/>
      <c r="KIB29" s="239"/>
      <c r="KIC29" s="240"/>
      <c r="KID29" s="239"/>
      <c r="KIE29" s="240"/>
      <c r="KIF29" s="239"/>
      <c r="KIG29" s="240"/>
      <c r="KIH29" s="239"/>
      <c r="KII29" s="240"/>
      <c r="KIJ29" s="239"/>
      <c r="KIK29" s="240"/>
      <c r="KIL29" s="239"/>
      <c r="KIM29" s="240"/>
      <c r="KIN29" s="239"/>
      <c r="KIO29" s="240"/>
      <c r="KIP29" s="239"/>
      <c r="KIQ29" s="240"/>
      <c r="KIR29" s="239"/>
      <c r="KIS29" s="240"/>
      <c r="KIT29" s="239"/>
      <c r="KIU29" s="240"/>
      <c r="KIV29" s="239"/>
      <c r="KIW29" s="240"/>
      <c r="KIX29" s="239"/>
      <c r="KIY29" s="240"/>
      <c r="KIZ29" s="239"/>
      <c r="KJA29" s="240"/>
      <c r="KJB29" s="239"/>
      <c r="KJC29" s="240"/>
      <c r="KJD29" s="239"/>
      <c r="KJE29" s="240"/>
      <c r="KJF29" s="239"/>
      <c r="KJG29" s="240"/>
      <c r="KJH29" s="239"/>
      <c r="KJI29" s="240"/>
      <c r="KJJ29" s="239"/>
      <c r="KJK29" s="240"/>
      <c r="KJL29" s="239"/>
      <c r="KJM29" s="240"/>
      <c r="KJN29" s="239"/>
      <c r="KJO29" s="240"/>
      <c r="KJP29" s="239"/>
      <c r="KJQ29" s="240"/>
      <c r="KJR29" s="239"/>
      <c r="KJS29" s="240"/>
      <c r="KJT29" s="239"/>
      <c r="KJU29" s="240"/>
      <c r="KJV29" s="239"/>
      <c r="KJW29" s="240"/>
      <c r="KJX29" s="239"/>
      <c r="KJY29" s="240"/>
      <c r="KJZ29" s="239"/>
      <c r="KKA29" s="240"/>
      <c r="KKB29" s="239"/>
      <c r="KKC29" s="240"/>
      <c r="KKD29" s="239"/>
      <c r="KKE29" s="240"/>
      <c r="KKF29" s="239"/>
      <c r="KKG29" s="240"/>
      <c r="KKH29" s="239"/>
      <c r="KKI29" s="240"/>
      <c r="KKJ29" s="239"/>
      <c r="KKK29" s="240"/>
      <c r="KKL29" s="239"/>
      <c r="KKM29" s="240"/>
      <c r="KKN29" s="239"/>
      <c r="KKO29" s="240"/>
      <c r="KKP29" s="239"/>
      <c r="KKQ29" s="240"/>
      <c r="KKR29" s="239"/>
      <c r="KKS29" s="240"/>
      <c r="KKT29" s="239"/>
      <c r="KKU29" s="240"/>
      <c r="KKV29" s="239"/>
      <c r="KKW29" s="240"/>
      <c r="KKX29" s="239"/>
      <c r="KKY29" s="240"/>
      <c r="KKZ29" s="239"/>
      <c r="KLA29" s="240"/>
      <c r="KLB29" s="239"/>
      <c r="KLC29" s="240"/>
      <c r="KLD29" s="239"/>
      <c r="KLE29" s="240"/>
      <c r="KLF29" s="239"/>
      <c r="KLG29" s="240"/>
      <c r="KLH29" s="239"/>
      <c r="KLI29" s="240"/>
      <c r="KLJ29" s="239"/>
      <c r="KLK29" s="240"/>
      <c r="KLL29" s="239"/>
      <c r="KLM29" s="240"/>
      <c r="KLN29" s="239"/>
      <c r="KLO29" s="240"/>
      <c r="KLP29" s="239"/>
      <c r="KLQ29" s="240"/>
      <c r="KLR29" s="239"/>
      <c r="KLS29" s="240"/>
      <c r="KLT29" s="239"/>
      <c r="KLU29" s="240"/>
      <c r="KLV29" s="239"/>
      <c r="KLW29" s="240"/>
      <c r="KLX29" s="239"/>
      <c r="KLY29" s="240"/>
      <c r="KLZ29" s="239"/>
      <c r="KMA29" s="240"/>
      <c r="KMB29" s="239"/>
      <c r="KMC29" s="240"/>
      <c r="KMD29" s="239"/>
      <c r="KME29" s="240"/>
      <c r="KMF29" s="239"/>
      <c r="KMG29" s="240"/>
      <c r="KMH29" s="239"/>
      <c r="KMI29" s="240"/>
      <c r="KMJ29" s="239"/>
      <c r="KMK29" s="240"/>
      <c r="KML29" s="239"/>
      <c r="KMM29" s="240"/>
      <c r="KMN29" s="239"/>
      <c r="KMO29" s="240"/>
      <c r="KMP29" s="239"/>
      <c r="KMQ29" s="240"/>
      <c r="KMR29" s="239"/>
      <c r="KMS29" s="240"/>
      <c r="KMT29" s="239"/>
      <c r="KMU29" s="240"/>
      <c r="KMV29" s="239"/>
      <c r="KMW29" s="240"/>
      <c r="KMX29" s="239"/>
      <c r="KMY29" s="240"/>
      <c r="KMZ29" s="239"/>
      <c r="KNA29" s="240"/>
      <c r="KNB29" s="239"/>
      <c r="KNC29" s="240"/>
      <c r="KND29" s="239"/>
      <c r="KNE29" s="240"/>
      <c r="KNF29" s="239"/>
      <c r="KNG29" s="240"/>
      <c r="KNH29" s="239"/>
      <c r="KNI29" s="240"/>
      <c r="KNJ29" s="239"/>
      <c r="KNK29" s="240"/>
      <c r="KNL29" s="239"/>
      <c r="KNM29" s="240"/>
      <c r="KNN29" s="239"/>
      <c r="KNO29" s="240"/>
      <c r="KNP29" s="239"/>
      <c r="KNQ29" s="240"/>
      <c r="KNR29" s="239"/>
      <c r="KNS29" s="240"/>
      <c r="KNT29" s="239"/>
      <c r="KNU29" s="240"/>
      <c r="KNV29" s="239"/>
      <c r="KNW29" s="240"/>
      <c r="KNX29" s="239"/>
      <c r="KNY29" s="240"/>
      <c r="KNZ29" s="239"/>
      <c r="KOA29" s="240"/>
      <c r="KOB29" s="239"/>
      <c r="KOC29" s="240"/>
      <c r="KOD29" s="239"/>
      <c r="KOE29" s="240"/>
      <c r="KOF29" s="239"/>
      <c r="KOG29" s="240"/>
      <c r="KOH29" s="239"/>
      <c r="KOI29" s="240"/>
      <c r="KOJ29" s="239"/>
      <c r="KOK29" s="240"/>
      <c r="KOL29" s="239"/>
      <c r="KOM29" s="240"/>
      <c r="KON29" s="239"/>
      <c r="KOO29" s="240"/>
      <c r="KOP29" s="239"/>
      <c r="KOQ29" s="240"/>
      <c r="KOR29" s="239"/>
      <c r="KOS29" s="240"/>
      <c r="KOT29" s="239"/>
      <c r="KOU29" s="240"/>
      <c r="KOV29" s="239"/>
      <c r="KOW29" s="240"/>
      <c r="KOX29" s="239"/>
      <c r="KOY29" s="240"/>
      <c r="KOZ29" s="239"/>
      <c r="KPA29" s="240"/>
      <c r="KPB29" s="239"/>
      <c r="KPC29" s="240"/>
      <c r="KPD29" s="239"/>
      <c r="KPE29" s="240"/>
      <c r="KPF29" s="239"/>
      <c r="KPG29" s="240"/>
      <c r="KPH29" s="239"/>
      <c r="KPI29" s="240"/>
      <c r="KPJ29" s="239"/>
      <c r="KPK29" s="240"/>
      <c r="KPL29" s="239"/>
      <c r="KPM29" s="240"/>
      <c r="KPN29" s="239"/>
      <c r="KPO29" s="240"/>
      <c r="KPP29" s="239"/>
      <c r="KPQ29" s="240"/>
      <c r="KPR29" s="239"/>
      <c r="KPS29" s="240"/>
      <c r="KPT29" s="239"/>
      <c r="KPU29" s="240"/>
      <c r="KPV29" s="239"/>
      <c r="KPW29" s="240"/>
      <c r="KPX29" s="239"/>
      <c r="KPY29" s="240"/>
      <c r="KPZ29" s="239"/>
      <c r="KQA29" s="240"/>
      <c r="KQB29" s="239"/>
      <c r="KQC29" s="240"/>
      <c r="KQD29" s="239"/>
      <c r="KQE29" s="240"/>
      <c r="KQF29" s="239"/>
      <c r="KQG29" s="240"/>
      <c r="KQH29" s="239"/>
      <c r="KQI29" s="240"/>
      <c r="KQJ29" s="239"/>
      <c r="KQK29" s="240"/>
      <c r="KQL29" s="239"/>
      <c r="KQM29" s="240"/>
      <c r="KQN29" s="239"/>
      <c r="KQO29" s="240"/>
      <c r="KQP29" s="239"/>
      <c r="KQQ29" s="240"/>
      <c r="KQR29" s="239"/>
      <c r="KQS29" s="240"/>
      <c r="KQT29" s="239"/>
      <c r="KQU29" s="240"/>
      <c r="KQV29" s="239"/>
      <c r="KQW29" s="240"/>
      <c r="KQX29" s="239"/>
      <c r="KQY29" s="240"/>
      <c r="KQZ29" s="239"/>
      <c r="KRA29" s="240"/>
      <c r="KRB29" s="239"/>
      <c r="KRC29" s="240"/>
      <c r="KRD29" s="239"/>
      <c r="KRE29" s="240"/>
      <c r="KRF29" s="239"/>
      <c r="KRG29" s="240"/>
      <c r="KRH29" s="239"/>
      <c r="KRI29" s="240"/>
      <c r="KRJ29" s="239"/>
      <c r="KRK29" s="240"/>
      <c r="KRL29" s="239"/>
      <c r="KRM29" s="240"/>
      <c r="KRN29" s="239"/>
      <c r="KRO29" s="240"/>
      <c r="KRP29" s="239"/>
      <c r="KRQ29" s="240"/>
      <c r="KRR29" s="239"/>
      <c r="KRS29" s="240"/>
      <c r="KRT29" s="239"/>
      <c r="KRU29" s="240"/>
      <c r="KRV29" s="239"/>
      <c r="KRW29" s="240"/>
      <c r="KRX29" s="239"/>
      <c r="KRY29" s="240"/>
      <c r="KRZ29" s="239"/>
      <c r="KSA29" s="240"/>
      <c r="KSB29" s="239"/>
      <c r="KSC29" s="240"/>
      <c r="KSD29" s="239"/>
      <c r="KSE29" s="240"/>
      <c r="KSF29" s="239"/>
      <c r="KSG29" s="240"/>
      <c r="KSH29" s="239"/>
      <c r="KSI29" s="240"/>
      <c r="KSJ29" s="239"/>
      <c r="KSK29" s="240"/>
      <c r="KSL29" s="239"/>
      <c r="KSM29" s="240"/>
      <c r="KSN29" s="239"/>
      <c r="KSO29" s="240"/>
      <c r="KSP29" s="239"/>
      <c r="KSQ29" s="240"/>
      <c r="KSR29" s="239"/>
      <c r="KSS29" s="240"/>
      <c r="KST29" s="239"/>
      <c r="KSU29" s="240"/>
      <c r="KSV29" s="239"/>
      <c r="KSW29" s="240"/>
      <c r="KSX29" s="239"/>
      <c r="KSY29" s="240"/>
      <c r="KSZ29" s="239"/>
      <c r="KTA29" s="240"/>
      <c r="KTB29" s="239"/>
      <c r="KTC29" s="240"/>
      <c r="KTD29" s="239"/>
      <c r="KTE29" s="240"/>
      <c r="KTF29" s="239"/>
      <c r="KTG29" s="240"/>
      <c r="KTH29" s="239"/>
      <c r="KTI29" s="240"/>
      <c r="KTJ29" s="239"/>
      <c r="KTK29" s="240"/>
      <c r="KTL29" s="239"/>
      <c r="KTM29" s="240"/>
      <c r="KTN29" s="239"/>
      <c r="KTO29" s="240"/>
      <c r="KTP29" s="239"/>
      <c r="KTQ29" s="240"/>
      <c r="KTR29" s="239"/>
      <c r="KTS29" s="240"/>
      <c r="KTT29" s="239"/>
      <c r="KTU29" s="240"/>
      <c r="KTV29" s="239"/>
      <c r="KTW29" s="240"/>
      <c r="KTX29" s="239"/>
      <c r="KTY29" s="240"/>
      <c r="KTZ29" s="239"/>
      <c r="KUA29" s="240"/>
      <c r="KUB29" s="239"/>
      <c r="KUC29" s="240"/>
      <c r="KUD29" s="239"/>
      <c r="KUE29" s="240"/>
      <c r="KUF29" s="239"/>
      <c r="KUG29" s="240"/>
      <c r="KUH29" s="239"/>
      <c r="KUI29" s="240"/>
      <c r="KUJ29" s="239"/>
      <c r="KUK29" s="240"/>
      <c r="KUL29" s="239"/>
      <c r="KUM29" s="240"/>
      <c r="KUN29" s="239"/>
      <c r="KUO29" s="240"/>
      <c r="KUP29" s="239"/>
      <c r="KUQ29" s="240"/>
      <c r="KUR29" s="239"/>
      <c r="KUS29" s="240"/>
      <c r="KUT29" s="239"/>
      <c r="KUU29" s="240"/>
      <c r="KUV29" s="239"/>
      <c r="KUW29" s="240"/>
      <c r="KUX29" s="239"/>
      <c r="KUY29" s="240"/>
      <c r="KUZ29" s="239"/>
      <c r="KVA29" s="240"/>
      <c r="KVB29" s="239"/>
      <c r="KVC29" s="240"/>
      <c r="KVD29" s="239"/>
      <c r="KVE29" s="240"/>
      <c r="KVF29" s="239"/>
      <c r="KVG29" s="240"/>
      <c r="KVH29" s="239"/>
      <c r="KVI29" s="240"/>
      <c r="KVJ29" s="239"/>
      <c r="KVK29" s="240"/>
      <c r="KVL29" s="239"/>
      <c r="KVM29" s="240"/>
      <c r="KVN29" s="239"/>
      <c r="KVO29" s="240"/>
      <c r="KVP29" s="239"/>
      <c r="KVQ29" s="240"/>
      <c r="KVR29" s="239"/>
      <c r="KVS29" s="240"/>
      <c r="KVT29" s="239"/>
      <c r="KVU29" s="240"/>
      <c r="KVV29" s="239"/>
      <c r="KVW29" s="240"/>
      <c r="KVX29" s="239"/>
      <c r="KVY29" s="240"/>
      <c r="KVZ29" s="239"/>
      <c r="KWA29" s="240"/>
      <c r="KWB29" s="239"/>
      <c r="KWC29" s="240"/>
      <c r="KWD29" s="239"/>
      <c r="KWE29" s="240"/>
      <c r="KWF29" s="239"/>
      <c r="KWG29" s="240"/>
      <c r="KWH29" s="239"/>
      <c r="KWI29" s="240"/>
      <c r="KWJ29" s="239"/>
      <c r="KWK29" s="240"/>
      <c r="KWL29" s="239"/>
      <c r="KWM29" s="240"/>
      <c r="KWN29" s="239"/>
      <c r="KWO29" s="240"/>
      <c r="KWP29" s="239"/>
      <c r="KWQ29" s="240"/>
      <c r="KWR29" s="239"/>
      <c r="KWS29" s="240"/>
      <c r="KWT29" s="239"/>
      <c r="KWU29" s="240"/>
      <c r="KWV29" s="239"/>
      <c r="KWW29" s="240"/>
      <c r="KWX29" s="239"/>
      <c r="KWY29" s="240"/>
      <c r="KWZ29" s="239"/>
      <c r="KXA29" s="240"/>
      <c r="KXB29" s="239"/>
      <c r="KXC29" s="240"/>
      <c r="KXD29" s="239"/>
      <c r="KXE29" s="240"/>
      <c r="KXF29" s="239"/>
      <c r="KXG29" s="240"/>
      <c r="KXH29" s="239"/>
      <c r="KXI29" s="240"/>
      <c r="KXJ29" s="239"/>
      <c r="KXK29" s="240"/>
      <c r="KXL29" s="239"/>
      <c r="KXM29" s="240"/>
      <c r="KXN29" s="239"/>
      <c r="KXO29" s="240"/>
      <c r="KXP29" s="239"/>
      <c r="KXQ29" s="240"/>
      <c r="KXR29" s="239"/>
      <c r="KXS29" s="240"/>
      <c r="KXT29" s="239"/>
      <c r="KXU29" s="240"/>
      <c r="KXV29" s="239"/>
      <c r="KXW29" s="240"/>
      <c r="KXX29" s="239"/>
      <c r="KXY29" s="240"/>
      <c r="KXZ29" s="239"/>
      <c r="KYA29" s="240"/>
      <c r="KYB29" s="239"/>
      <c r="KYC29" s="240"/>
      <c r="KYD29" s="239"/>
      <c r="KYE29" s="240"/>
      <c r="KYF29" s="239"/>
      <c r="KYG29" s="240"/>
      <c r="KYH29" s="239"/>
      <c r="KYI29" s="240"/>
      <c r="KYJ29" s="239"/>
      <c r="KYK29" s="240"/>
      <c r="KYL29" s="239"/>
      <c r="KYM29" s="240"/>
      <c r="KYN29" s="239"/>
      <c r="KYO29" s="240"/>
      <c r="KYP29" s="239"/>
      <c r="KYQ29" s="240"/>
      <c r="KYR29" s="239"/>
      <c r="KYS29" s="240"/>
      <c r="KYT29" s="239"/>
      <c r="KYU29" s="240"/>
      <c r="KYV29" s="239"/>
      <c r="KYW29" s="240"/>
      <c r="KYX29" s="239"/>
      <c r="KYY29" s="240"/>
      <c r="KYZ29" s="239"/>
      <c r="KZA29" s="240"/>
      <c r="KZB29" s="239"/>
      <c r="KZC29" s="240"/>
      <c r="KZD29" s="239"/>
      <c r="KZE29" s="240"/>
      <c r="KZF29" s="239"/>
      <c r="KZG29" s="240"/>
      <c r="KZH29" s="239"/>
      <c r="KZI29" s="240"/>
      <c r="KZJ29" s="239"/>
      <c r="KZK29" s="240"/>
      <c r="KZL29" s="239"/>
      <c r="KZM29" s="240"/>
      <c r="KZN29" s="239"/>
      <c r="KZO29" s="240"/>
      <c r="KZP29" s="239"/>
      <c r="KZQ29" s="240"/>
      <c r="KZR29" s="239"/>
      <c r="KZS29" s="240"/>
      <c r="KZT29" s="239"/>
      <c r="KZU29" s="240"/>
      <c r="KZV29" s="239"/>
      <c r="KZW29" s="240"/>
      <c r="KZX29" s="239"/>
      <c r="KZY29" s="240"/>
      <c r="KZZ29" s="239"/>
      <c r="LAA29" s="240"/>
      <c r="LAB29" s="239"/>
      <c r="LAC29" s="240"/>
      <c r="LAD29" s="239"/>
      <c r="LAE29" s="240"/>
      <c r="LAF29" s="239"/>
      <c r="LAG29" s="240"/>
      <c r="LAH29" s="239"/>
      <c r="LAI29" s="240"/>
      <c r="LAJ29" s="239"/>
      <c r="LAK29" s="240"/>
      <c r="LAL29" s="239"/>
      <c r="LAM29" s="240"/>
      <c r="LAN29" s="239"/>
      <c r="LAO29" s="240"/>
      <c r="LAP29" s="239"/>
      <c r="LAQ29" s="240"/>
      <c r="LAR29" s="239"/>
      <c r="LAS29" s="240"/>
      <c r="LAT29" s="239"/>
      <c r="LAU29" s="240"/>
      <c r="LAV29" s="239"/>
      <c r="LAW29" s="240"/>
      <c r="LAX29" s="239"/>
      <c r="LAY29" s="240"/>
      <c r="LAZ29" s="239"/>
      <c r="LBA29" s="240"/>
      <c r="LBB29" s="239"/>
      <c r="LBC29" s="240"/>
      <c r="LBD29" s="239"/>
      <c r="LBE29" s="240"/>
      <c r="LBF29" s="239"/>
      <c r="LBG29" s="240"/>
      <c r="LBH29" s="239"/>
      <c r="LBI29" s="240"/>
      <c r="LBJ29" s="239"/>
      <c r="LBK29" s="240"/>
      <c r="LBL29" s="239"/>
      <c r="LBM29" s="240"/>
      <c r="LBN29" s="239"/>
      <c r="LBO29" s="240"/>
      <c r="LBP29" s="239"/>
      <c r="LBQ29" s="240"/>
      <c r="LBR29" s="239"/>
      <c r="LBS29" s="240"/>
      <c r="LBT29" s="239"/>
      <c r="LBU29" s="240"/>
      <c r="LBV29" s="239"/>
      <c r="LBW29" s="240"/>
      <c r="LBX29" s="239"/>
      <c r="LBY29" s="240"/>
      <c r="LBZ29" s="239"/>
      <c r="LCA29" s="240"/>
      <c r="LCB29" s="239"/>
      <c r="LCC29" s="240"/>
      <c r="LCD29" s="239"/>
      <c r="LCE29" s="240"/>
      <c r="LCF29" s="239"/>
      <c r="LCG29" s="240"/>
      <c r="LCH29" s="239"/>
      <c r="LCI29" s="240"/>
      <c r="LCJ29" s="239"/>
      <c r="LCK29" s="240"/>
      <c r="LCL29" s="239"/>
      <c r="LCM29" s="240"/>
      <c r="LCN29" s="239"/>
      <c r="LCO29" s="240"/>
      <c r="LCP29" s="239"/>
      <c r="LCQ29" s="240"/>
      <c r="LCR29" s="239"/>
      <c r="LCS29" s="240"/>
      <c r="LCT29" s="239"/>
      <c r="LCU29" s="240"/>
      <c r="LCV29" s="239"/>
      <c r="LCW29" s="240"/>
      <c r="LCX29" s="239"/>
      <c r="LCY29" s="240"/>
      <c r="LCZ29" s="239"/>
      <c r="LDA29" s="240"/>
      <c r="LDB29" s="239"/>
      <c r="LDC29" s="240"/>
      <c r="LDD29" s="239"/>
      <c r="LDE29" s="240"/>
      <c r="LDF29" s="239"/>
      <c r="LDG29" s="240"/>
      <c r="LDH29" s="239"/>
      <c r="LDI29" s="240"/>
      <c r="LDJ29" s="239"/>
      <c r="LDK29" s="240"/>
      <c r="LDL29" s="239"/>
      <c r="LDM29" s="240"/>
      <c r="LDN29" s="239"/>
      <c r="LDO29" s="240"/>
      <c r="LDP29" s="239"/>
      <c r="LDQ29" s="240"/>
      <c r="LDR29" s="239"/>
      <c r="LDS29" s="240"/>
      <c r="LDT29" s="239"/>
      <c r="LDU29" s="240"/>
      <c r="LDV29" s="239"/>
      <c r="LDW29" s="240"/>
      <c r="LDX29" s="239"/>
      <c r="LDY29" s="240"/>
      <c r="LDZ29" s="239"/>
      <c r="LEA29" s="240"/>
      <c r="LEB29" s="239"/>
      <c r="LEC29" s="240"/>
      <c r="LED29" s="239"/>
      <c r="LEE29" s="240"/>
      <c r="LEF29" s="239"/>
      <c r="LEG29" s="240"/>
      <c r="LEH29" s="239"/>
      <c r="LEI29" s="240"/>
      <c r="LEJ29" s="239"/>
      <c r="LEK29" s="240"/>
      <c r="LEL29" s="239"/>
      <c r="LEM29" s="240"/>
      <c r="LEN29" s="239"/>
      <c r="LEO29" s="240"/>
      <c r="LEP29" s="239"/>
      <c r="LEQ29" s="240"/>
      <c r="LER29" s="239"/>
      <c r="LES29" s="240"/>
      <c r="LET29" s="239"/>
      <c r="LEU29" s="240"/>
      <c r="LEV29" s="239"/>
      <c r="LEW29" s="240"/>
      <c r="LEX29" s="239"/>
      <c r="LEY29" s="240"/>
      <c r="LEZ29" s="239"/>
      <c r="LFA29" s="240"/>
      <c r="LFB29" s="239"/>
      <c r="LFC29" s="240"/>
      <c r="LFD29" s="239"/>
      <c r="LFE29" s="240"/>
      <c r="LFF29" s="239"/>
      <c r="LFG29" s="240"/>
      <c r="LFH29" s="239"/>
      <c r="LFI29" s="240"/>
      <c r="LFJ29" s="239"/>
      <c r="LFK29" s="240"/>
      <c r="LFL29" s="239"/>
      <c r="LFM29" s="240"/>
      <c r="LFN29" s="239"/>
      <c r="LFO29" s="240"/>
      <c r="LFP29" s="239"/>
      <c r="LFQ29" s="240"/>
      <c r="LFR29" s="239"/>
      <c r="LFS29" s="240"/>
      <c r="LFT29" s="239"/>
      <c r="LFU29" s="240"/>
      <c r="LFV29" s="239"/>
      <c r="LFW29" s="240"/>
      <c r="LFX29" s="239"/>
      <c r="LFY29" s="240"/>
      <c r="LFZ29" s="239"/>
      <c r="LGA29" s="240"/>
      <c r="LGB29" s="239"/>
      <c r="LGC29" s="240"/>
      <c r="LGD29" s="239"/>
      <c r="LGE29" s="240"/>
      <c r="LGF29" s="239"/>
      <c r="LGG29" s="240"/>
      <c r="LGH29" s="239"/>
      <c r="LGI29" s="240"/>
      <c r="LGJ29" s="239"/>
      <c r="LGK29" s="240"/>
      <c r="LGL29" s="239"/>
      <c r="LGM29" s="240"/>
      <c r="LGN29" s="239"/>
      <c r="LGO29" s="240"/>
      <c r="LGP29" s="239"/>
      <c r="LGQ29" s="240"/>
      <c r="LGR29" s="239"/>
      <c r="LGS29" s="240"/>
      <c r="LGT29" s="239"/>
      <c r="LGU29" s="240"/>
      <c r="LGV29" s="239"/>
      <c r="LGW29" s="240"/>
      <c r="LGX29" s="239"/>
      <c r="LGY29" s="240"/>
      <c r="LGZ29" s="239"/>
      <c r="LHA29" s="240"/>
      <c r="LHB29" s="239"/>
      <c r="LHC29" s="240"/>
      <c r="LHD29" s="239"/>
      <c r="LHE29" s="240"/>
      <c r="LHF29" s="239"/>
      <c r="LHG29" s="240"/>
      <c r="LHH29" s="239"/>
      <c r="LHI29" s="240"/>
      <c r="LHJ29" s="239"/>
      <c r="LHK29" s="240"/>
      <c r="LHL29" s="239"/>
      <c r="LHM29" s="240"/>
      <c r="LHN29" s="239"/>
      <c r="LHO29" s="240"/>
      <c r="LHP29" s="239"/>
      <c r="LHQ29" s="240"/>
      <c r="LHR29" s="239"/>
      <c r="LHS29" s="240"/>
      <c r="LHT29" s="239"/>
      <c r="LHU29" s="240"/>
      <c r="LHV29" s="239"/>
      <c r="LHW29" s="240"/>
      <c r="LHX29" s="239"/>
      <c r="LHY29" s="240"/>
      <c r="LHZ29" s="239"/>
      <c r="LIA29" s="240"/>
      <c r="LIB29" s="239"/>
      <c r="LIC29" s="240"/>
      <c r="LID29" s="239"/>
      <c r="LIE29" s="240"/>
      <c r="LIF29" s="239"/>
      <c r="LIG29" s="240"/>
      <c r="LIH29" s="239"/>
      <c r="LII29" s="240"/>
      <c r="LIJ29" s="239"/>
      <c r="LIK29" s="240"/>
      <c r="LIL29" s="239"/>
      <c r="LIM29" s="240"/>
      <c r="LIN29" s="239"/>
      <c r="LIO29" s="240"/>
      <c r="LIP29" s="239"/>
      <c r="LIQ29" s="240"/>
      <c r="LIR29" s="239"/>
      <c r="LIS29" s="240"/>
      <c r="LIT29" s="239"/>
      <c r="LIU29" s="240"/>
      <c r="LIV29" s="239"/>
      <c r="LIW29" s="240"/>
      <c r="LIX29" s="239"/>
      <c r="LIY29" s="240"/>
      <c r="LIZ29" s="239"/>
      <c r="LJA29" s="240"/>
      <c r="LJB29" s="239"/>
      <c r="LJC29" s="240"/>
      <c r="LJD29" s="239"/>
      <c r="LJE29" s="240"/>
      <c r="LJF29" s="239"/>
      <c r="LJG29" s="240"/>
      <c r="LJH29" s="239"/>
      <c r="LJI29" s="240"/>
      <c r="LJJ29" s="239"/>
      <c r="LJK29" s="240"/>
      <c r="LJL29" s="239"/>
      <c r="LJM29" s="240"/>
      <c r="LJN29" s="239"/>
      <c r="LJO29" s="240"/>
      <c r="LJP29" s="239"/>
      <c r="LJQ29" s="240"/>
      <c r="LJR29" s="239"/>
      <c r="LJS29" s="240"/>
      <c r="LJT29" s="239"/>
      <c r="LJU29" s="240"/>
      <c r="LJV29" s="239"/>
      <c r="LJW29" s="240"/>
      <c r="LJX29" s="239"/>
      <c r="LJY29" s="240"/>
      <c r="LJZ29" s="239"/>
      <c r="LKA29" s="240"/>
      <c r="LKB29" s="239"/>
      <c r="LKC29" s="240"/>
      <c r="LKD29" s="239"/>
      <c r="LKE29" s="240"/>
      <c r="LKF29" s="239"/>
      <c r="LKG29" s="240"/>
      <c r="LKH29" s="239"/>
      <c r="LKI29" s="240"/>
      <c r="LKJ29" s="239"/>
      <c r="LKK29" s="240"/>
      <c r="LKL29" s="239"/>
      <c r="LKM29" s="240"/>
      <c r="LKN29" s="239"/>
      <c r="LKO29" s="240"/>
      <c r="LKP29" s="239"/>
      <c r="LKQ29" s="240"/>
      <c r="LKR29" s="239"/>
      <c r="LKS29" s="240"/>
      <c r="LKT29" s="239"/>
      <c r="LKU29" s="240"/>
      <c r="LKV29" s="239"/>
      <c r="LKW29" s="240"/>
      <c r="LKX29" s="239"/>
      <c r="LKY29" s="240"/>
      <c r="LKZ29" s="239"/>
      <c r="LLA29" s="240"/>
      <c r="LLB29" s="239"/>
      <c r="LLC29" s="240"/>
      <c r="LLD29" s="239"/>
      <c r="LLE29" s="240"/>
      <c r="LLF29" s="239"/>
      <c r="LLG29" s="240"/>
      <c r="LLH29" s="239"/>
      <c r="LLI29" s="240"/>
      <c r="LLJ29" s="239"/>
      <c r="LLK29" s="240"/>
      <c r="LLL29" s="239"/>
      <c r="LLM29" s="240"/>
      <c r="LLN29" s="239"/>
      <c r="LLO29" s="240"/>
      <c r="LLP29" s="239"/>
      <c r="LLQ29" s="240"/>
      <c r="LLR29" s="239"/>
      <c r="LLS29" s="240"/>
      <c r="LLT29" s="239"/>
      <c r="LLU29" s="240"/>
      <c r="LLV29" s="239"/>
      <c r="LLW29" s="240"/>
      <c r="LLX29" s="239"/>
      <c r="LLY29" s="240"/>
      <c r="LLZ29" s="239"/>
      <c r="LMA29" s="240"/>
      <c r="LMB29" s="239"/>
      <c r="LMC29" s="240"/>
      <c r="LMD29" s="239"/>
      <c r="LME29" s="240"/>
      <c r="LMF29" s="239"/>
      <c r="LMG29" s="240"/>
      <c r="LMH29" s="239"/>
      <c r="LMI29" s="240"/>
      <c r="LMJ29" s="239"/>
      <c r="LMK29" s="240"/>
      <c r="LML29" s="239"/>
      <c r="LMM29" s="240"/>
      <c r="LMN29" s="239"/>
      <c r="LMO29" s="240"/>
      <c r="LMP29" s="239"/>
      <c r="LMQ29" s="240"/>
      <c r="LMR29" s="239"/>
      <c r="LMS29" s="240"/>
      <c r="LMT29" s="239"/>
      <c r="LMU29" s="240"/>
      <c r="LMV29" s="239"/>
      <c r="LMW29" s="240"/>
      <c r="LMX29" s="239"/>
      <c r="LMY29" s="240"/>
      <c r="LMZ29" s="239"/>
      <c r="LNA29" s="240"/>
      <c r="LNB29" s="239"/>
      <c r="LNC29" s="240"/>
      <c r="LND29" s="239"/>
      <c r="LNE29" s="240"/>
      <c r="LNF29" s="239"/>
      <c r="LNG29" s="240"/>
      <c r="LNH29" s="239"/>
      <c r="LNI29" s="240"/>
      <c r="LNJ29" s="239"/>
      <c r="LNK29" s="240"/>
      <c r="LNL29" s="239"/>
      <c r="LNM29" s="240"/>
      <c r="LNN29" s="239"/>
      <c r="LNO29" s="240"/>
      <c r="LNP29" s="239"/>
      <c r="LNQ29" s="240"/>
      <c r="LNR29" s="239"/>
      <c r="LNS29" s="240"/>
      <c r="LNT29" s="239"/>
      <c r="LNU29" s="240"/>
      <c r="LNV29" s="239"/>
      <c r="LNW29" s="240"/>
      <c r="LNX29" s="239"/>
      <c r="LNY29" s="240"/>
      <c r="LNZ29" s="239"/>
      <c r="LOA29" s="240"/>
      <c r="LOB29" s="239"/>
      <c r="LOC29" s="240"/>
      <c r="LOD29" s="239"/>
      <c r="LOE29" s="240"/>
      <c r="LOF29" s="239"/>
      <c r="LOG29" s="240"/>
      <c r="LOH29" s="239"/>
      <c r="LOI29" s="240"/>
      <c r="LOJ29" s="239"/>
      <c r="LOK29" s="240"/>
      <c r="LOL29" s="239"/>
      <c r="LOM29" s="240"/>
      <c r="LON29" s="239"/>
      <c r="LOO29" s="240"/>
      <c r="LOP29" s="239"/>
      <c r="LOQ29" s="240"/>
      <c r="LOR29" s="239"/>
      <c r="LOS29" s="240"/>
      <c r="LOT29" s="239"/>
      <c r="LOU29" s="240"/>
      <c r="LOV29" s="239"/>
      <c r="LOW29" s="240"/>
      <c r="LOX29" s="239"/>
      <c r="LOY29" s="240"/>
      <c r="LOZ29" s="239"/>
      <c r="LPA29" s="240"/>
      <c r="LPB29" s="239"/>
      <c r="LPC29" s="240"/>
      <c r="LPD29" s="239"/>
      <c r="LPE29" s="240"/>
      <c r="LPF29" s="239"/>
      <c r="LPG29" s="240"/>
      <c r="LPH29" s="239"/>
      <c r="LPI29" s="240"/>
      <c r="LPJ29" s="239"/>
      <c r="LPK29" s="240"/>
      <c r="LPL29" s="239"/>
      <c r="LPM29" s="240"/>
      <c r="LPN29" s="239"/>
      <c r="LPO29" s="240"/>
      <c r="LPP29" s="239"/>
      <c r="LPQ29" s="240"/>
      <c r="LPR29" s="239"/>
      <c r="LPS29" s="240"/>
      <c r="LPT29" s="239"/>
      <c r="LPU29" s="240"/>
      <c r="LPV29" s="239"/>
      <c r="LPW29" s="240"/>
      <c r="LPX29" s="239"/>
      <c r="LPY29" s="240"/>
      <c r="LPZ29" s="239"/>
      <c r="LQA29" s="240"/>
      <c r="LQB29" s="239"/>
      <c r="LQC29" s="240"/>
      <c r="LQD29" s="239"/>
      <c r="LQE29" s="240"/>
      <c r="LQF29" s="239"/>
      <c r="LQG29" s="240"/>
      <c r="LQH29" s="239"/>
      <c r="LQI29" s="240"/>
      <c r="LQJ29" s="239"/>
      <c r="LQK29" s="240"/>
      <c r="LQL29" s="239"/>
      <c r="LQM29" s="240"/>
      <c r="LQN29" s="239"/>
      <c r="LQO29" s="240"/>
      <c r="LQP29" s="239"/>
      <c r="LQQ29" s="240"/>
      <c r="LQR29" s="239"/>
      <c r="LQS29" s="240"/>
      <c r="LQT29" s="239"/>
      <c r="LQU29" s="240"/>
      <c r="LQV29" s="239"/>
      <c r="LQW29" s="240"/>
      <c r="LQX29" s="239"/>
      <c r="LQY29" s="240"/>
      <c r="LQZ29" s="239"/>
      <c r="LRA29" s="240"/>
      <c r="LRB29" s="239"/>
      <c r="LRC29" s="240"/>
      <c r="LRD29" s="239"/>
      <c r="LRE29" s="240"/>
      <c r="LRF29" s="239"/>
      <c r="LRG29" s="240"/>
      <c r="LRH29" s="239"/>
      <c r="LRI29" s="240"/>
      <c r="LRJ29" s="239"/>
      <c r="LRK29" s="240"/>
      <c r="LRL29" s="239"/>
      <c r="LRM29" s="240"/>
      <c r="LRN29" s="239"/>
      <c r="LRO29" s="240"/>
      <c r="LRP29" s="239"/>
      <c r="LRQ29" s="240"/>
      <c r="LRR29" s="239"/>
      <c r="LRS29" s="240"/>
      <c r="LRT29" s="239"/>
      <c r="LRU29" s="240"/>
      <c r="LRV29" s="239"/>
      <c r="LRW29" s="240"/>
      <c r="LRX29" s="239"/>
      <c r="LRY29" s="240"/>
      <c r="LRZ29" s="239"/>
      <c r="LSA29" s="240"/>
      <c r="LSB29" s="239"/>
      <c r="LSC29" s="240"/>
      <c r="LSD29" s="239"/>
      <c r="LSE29" s="240"/>
      <c r="LSF29" s="239"/>
      <c r="LSG29" s="240"/>
      <c r="LSH29" s="239"/>
      <c r="LSI29" s="240"/>
      <c r="LSJ29" s="239"/>
      <c r="LSK29" s="240"/>
      <c r="LSL29" s="239"/>
      <c r="LSM29" s="240"/>
      <c r="LSN29" s="239"/>
      <c r="LSO29" s="240"/>
      <c r="LSP29" s="239"/>
      <c r="LSQ29" s="240"/>
      <c r="LSR29" s="239"/>
      <c r="LSS29" s="240"/>
      <c r="LST29" s="239"/>
      <c r="LSU29" s="240"/>
      <c r="LSV29" s="239"/>
      <c r="LSW29" s="240"/>
      <c r="LSX29" s="239"/>
      <c r="LSY29" s="240"/>
      <c r="LSZ29" s="239"/>
      <c r="LTA29" s="240"/>
      <c r="LTB29" s="239"/>
      <c r="LTC29" s="240"/>
      <c r="LTD29" s="239"/>
      <c r="LTE29" s="240"/>
      <c r="LTF29" s="239"/>
      <c r="LTG29" s="240"/>
      <c r="LTH29" s="239"/>
      <c r="LTI29" s="240"/>
      <c r="LTJ29" s="239"/>
      <c r="LTK29" s="240"/>
      <c r="LTL29" s="239"/>
      <c r="LTM29" s="240"/>
      <c r="LTN29" s="239"/>
      <c r="LTO29" s="240"/>
      <c r="LTP29" s="239"/>
      <c r="LTQ29" s="240"/>
      <c r="LTR29" s="239"/>
      <c r="LTS29" s="240"/>
      <c r="LTT29" s="239"/>
      <c r="LTU29" s="240"/>
      <c r="LTV29" s="239"/>
      <c r="LTW29" s="240"/>
      <c r="LTX29" s="239"/>
      <c r="LTY29" s="240"/>
      <c r="LTZ29" s="239"/>
      <c r="LUA29" s="240"/>
      <c r="LUB29" s="239"/>
      <c r="LUC29" s="240"/>
      <c r="LUD29" s="239"/>
      <c r="LUE29" s="240"/>
      <c r="LUF29" s="239"/>
      <c r="LUG29" s="240"/>
      <c r="LUH29" s="239"/>
      <c r="LUI29" s="240"/>
      <c r="LUJ29" s="239"/>
      <c r="LUK29" s="240"/>
      <c r="LUL29" s="239"/>
      <c r="LUM29" s="240"/>
      <c r="LUN29" s="239"/>
      <c r="LUO29" s="240"/>
      <c r="LUP29" s="239"/>
      <c r="LUQ29" s="240"/>
      <c r="LUR29" s="239"/>
      <c r="LUS29" s="240"/>
      <c r="LUT29" s="239"/>
      <c r="LUU29" s="240"/>
      <c r="LUV29" s="239"/>
      <c r="LUW29" s="240"/>
      <c r="LUX29" s="239"/>
      <c r="LUY29" s="240"/>
      <c r="LUZ29" s="239"/>
      <c r="LVA29" s="240"/>
      <c r="LVB29" s="239"/>
      <c r="LVC29" s="240"/>
      <c r="LVD29" s="239"/>
      <c r="LVE29" s="240"/>
      <c r="LVF29" s="239"/>
      <c r="LVG29" s="240"/>
      <c r="LVH29" s="239"/>
      <c r="LVI29" s="240"/>
      <c r="LVJ29" s="239"/>
      <c r="LVK29" s="240"/>
      <c r="LVL29" s="239"/>
      <c r="LVM29" s="240"/>
      <c r="LVN29" s="239"/>
      <c r="LVO29" s="240"/>
      <c r="LVP29" s="239"/>
      <c r="LVQ29" s="240"/>
      <c r="LVR29" s="239"/>
      <c r="LVS29" s="240"/>
      <c r="LVT29" s="239"/>
      <c r="LVU29" s="240"/>
      <c r="LVV29" s="239"/>
      <c r="LVW29" s="240"/>
      <c r="LVX29" s="239"/>
      <c r="LVY29" s="240"/>
      <c r="LVZ29" s="239"/>
      <c r="LWA29" s="240"/>
      <c r="LWB29" s="239"/>
      <c r="LWC29" s="240"/>
      <c r="LWD29" s="239"/>
      <c r="LWE29" s="240"/>
      <c r="LWF29" s="239"/>
      <c r="LWG29" s="240"/>
      <c r="LWH29" s="239"/>
      <c r="LWI29" s="240"/>
      <c r="LWJ29" s="239"/>
      <c r="LWK29" s="240"/>
      <c r="LWL29" s="239"/>
      <c r="LWM29" s="240"/>
      <c r="LWN29" s="239"/>
      <c r="LWO29" s="240"/>
      <c r="LWP29" s="239"/>
      <c r="LWQ29" s="240"/>
      <c r="LWR29" s="239"/>
      <c r="LWS29" s="240"/>
      <c r="LWT29" s="239"/>
      <c r="LWU29" s="240"/>
      <c r="LWV29" s="239"/>
      <c r="LWW29" s="240"/>
      <c r="LWX29" s="239"/>
      <c r="LWY29" s="240"/>
      <c r="LWZ29" s="239"/>
      <c r="LXA29" s="240"/>
      <c r="LXB29" s="239"/>
      <c r="LXC29" s="240"/>
      <c r="LXD29" s="239"/>
      <c r="LXE29" s="240"/>
      <c r="LXF29" s="239"/>
      <c r="LXG29" s="240"/>
      <c r="LXH29" s="239"/>
      <c r="LXI29" s="240"/>
      <c r="LXJ29" s="239"/>
      <c r="LXK29" s="240"/>
      <c r="LXL29" s="239"/>
      <c r="LXM29" s="240"/>
      <c r="LXN29" s="239"/>
      <c r="LXO29" s="240"/>
      <c r="LXP29" s="239"/>
      <c r="LXQ29" s="240"/>
      <c r="LXR29" s="239"/>
      <c r="LXS29" s="240"/>
      <c r="LXT29" s="239"/>
      <c r="LXU29" s="240"/>
      <c r="LXV29" s="239"/>
      <c r="LXW29" s="240"/>
      <c r="LXX29" s="239"/>
      <c r="LXY29" s="240"/>
      <c r="LXZ29" s="239"/>
      <c r="LYA29" s="240"/>
      <c r="LYB29" s="239"/>
      <c r="LYC29" s="240"/>
      <c r="LYD29" s="239"/>
      <c r="LYE29" s="240"/>
      <c r="LYF29" s="239"/>
      <c r="LYG29" s="240"/>
      <c r="LYH29" s="239"/>
      <c r="LYI29" s="240"/>
      <c r="LYJ29" s="239"/>
      <c r="LYK29" s="240"/>
      <c r="LYL29" s="239"/>
      <c r="LYM29" s="240"/>
      <c r="LYN29" s="239"/>
      <c r="LYO29" s="240"/>
      <c r="LYP29" s="239"/>
      <c r="LYQ29" s="240"/>
      <c r="LYR29" s="239"/>
      <c r="LYS29" s="240"/>
      <c r="LYT29" s="239"/>
      <c r="LYU29" s="240"/>
      <c r="LYV29" s="239"/>
      <c r="LYW29" s="240"/>
      <c r="LYX29" s="239"/>
      <c r="LYY29" s="240"/>
      <c r="LYZ29" s="239"/>
      <c r="LZA29" s="240"/>
      <c r="LZB29" s="239"/>
      <c r="LZC29" s="240"/>
      <c r="LZD29" s="239"/>
      <c r="LZE29" s="240"/>
      <c r="LZF29" s="239"/>
      <c r="LZG29" s="240"/>
      <c r="LZH29" s="239"/>
      <c r="LZI29" s="240"/>
      <c r="LZJ29" s="239"/>
      <c r="LZK29" s="240"/>
      <c r="LZL29" s="239"/>
      <c r="LZM29" s="240"/>
      <c r="LZN29" s="239"/>
      <c r="LZO29" s="240"/>
      <c r="LZP29" s="239"/>
      <c r="LZQ29" s="240"/>
      <c r="LZR29" s="239"/>
      <c r="LZS29" s="240"/>
      <c r="LZT29" s="239"/>
      <c r="LZU29" s="240"/>
      <c r="LZV29" s="239"/>
      <c r="LZW29" s="240"/>
      <c r="LZX29" s="239"/>
      <c r="LZY29" s="240"/>
      <c r="LZZ29" s="239"/>
      <c r="MAA29" s="240"/>
      <c r="MAB29" s="239"/>
      <c r="MAC29" s="240"/>
      <c r="MAD29" s="239"/>
      <c r="MAE29" s="240"/>
      <c r="MAF29" s="239"/>
      <c r="MAG29" s="240"/>
      <c r="MAH29" s="239"/>
      <c r="MAI29" s="240"/>
      <c r="MAJ29" s="239"/>
      <c r="MAK29" s="240"/>
      <c r="MAL29" s="239"/>
      <c r="MAM29" s="240"/>
      <c r="MAN29" s="239"/>
      <c r="MAO29" s="240"/>
      <c r="MAP29" s="239"/>
      <c r="MAQ29" s="240"/>
      <c r="MAR29" s="239"/>
      <c r="MAS29" s="240"/>
      <c r="MAT29" s="239"/>
      <c r="MAU29" s="240"/>
      <c r="MAV29" s="239"/>
      <c r="MAW29" s="240"/>
      <c r="MAX29" s="239"/>
      <c r="MAY29" s="240"/>
      <c r="MAZ29" s="239"/>
      <c r="MBA29" s="240"/>
      <c r="MBB29" s="239"/>
      <c r="MBC29" s="240"/>
      <c r="MBD29" s="239"/>
      <c r="MBE29" s="240"/>
      <c r="MBF29" s="239"/>
      <c r="MBG29" s="240"/>
      <c r="MBH29" s="239"/>
      <c r="MBI29" s="240"/>
      <c r="MBJ29" s="239"/>
      <c r="MBK29" s="240"/>
      <c r="MBL29" s="239"/>
      <c r="MBM29" s="240"/>
      <c r="MBN29" s="239"/>
      <c r="MBO29" s="240"/>
      <c r="MBP29" s="239"/>
      <c r="MBQ29" s="240"/>
      <c r="MBR29" s="239"/>
      <c r="MBS29" s="240"/>
      <c r="MBT29" s="239"/>
      <c r="MBU29" s="240"/>
      <c r="MBV29" s="239"/>
      <c r="MBW29" s="240"/>
      <c r="MBX29" s="239"/>
      <c r="MBY29" s="240"/>
      <c r="MBZ29" s="239"/>
      <c r="MCA29" s="240"/>
      <c r="MCB29" s="239"/>
      <c r="MCC29" s="240"/>
      <c r="MCD29" s="239"/>
      <c r="MCE29" s="240"/>
      <c r="MCF29" s="239"/>
      <c r="MCG29" s="240"/>
      <c r="MCH29" s="239"/>
      <c r="MCI29" s="240"/>
      <c r="MCJ29" s="239"/>
      <c r="MCK29" s="240"/>
      <c r="MCL29" s="239"/>
      <c r="MCM29" s="240"/>
      <c r="MCN29" s="239"/>
      <c r="MCO29" s="240"/>
      <c r="MCP29" s="239"/>
      <c r="MCQ29" s="240"/>
      <c r="MCR29" s="239"/>
      <c r="MCS29" s="240"/>
      <c r="MCT29" s="239"/>
      <c r="MCU29" s="240"/>
      <c r="MCV29" s="239"/>
      <c r="MCW29" s="240"/>
      <c r="MCX29" s="239"/>
      <c r="MCY29" s="240"/>
      <c r="MCZ29" s="239"/>
      <c r="MDA29" s="240"/>
      <c r="MDB29" s="239"/>
      <c r="MDC29" s="240"/>
      <c r="MDD29" s="239"/>
      <c r="MDE29" s="240"/>
      <c r="MDF29" s="239"/>
      <c r="MDG29" s="240"/>
      <c r="MDH29" s="239"/>
      <c r="MDI29" s="240"/>
      <c r="MDJ29" s="239"/>
      <c r="MDK29" s="240"/>
      <c r="MDL29" s="239"/>
      <c r="MDM29" s="240"/>
      <c r="MDN29" s="239"/>
      <c r="MDO29" s="240"/>
      <c r="MDP29" s="239"/>
      <c r="MDQ29" s="240"/>
      <c r="MDR29" s="239"/>
      <c r="MDS29" s="240"/>
      <c r="MDT29" s="239"/>
      <c r="MDU29" s="240"/>
      <c r="MDV29" s="239"/>
      <c r="MDW29" s="240"/>
      <c r="MDX29" s="239"/>
      <c r="MDY29" s="240"/>
      <c r="MDZ29" s="239"/>
      <c r="MEA29" s="240"/>
      <c r="MEB29" s="239"/>
      <c r="MEC29" s="240"/>
      <c r="MED29" s="239"/>
      <c r="MEE29" s="240"/>
      <c r="MEF29" s="239"/>
      <c r="MEG29" s="240"/>
      <c r="MEH29" s="239"/>
      <c r="MEI29" s="240"/>
      <c r="MEJ29" s="239"/>
      <c r="MEK29" s="240"/>
      <c r="MEL29" s="239"/>
      <c r="MEM29" s="240"/>
      <c r="MEN29" s="239"/>
      <c r="MEO29" s="240"/>
      <c r="MEP29" s="239"/>
      <c r="MEQ29" s="240"/>
      <c r="MER29" s="239"/>
      <c r="MES29" s="240"/>
      <c r="MET29" s="239"/>
      <c r="MEU29" s="240"/>
      <c r="MEV29" s="239"/>
      <c r="MEW29" s="240"/>
      <c r="MEX29" s="239"/>
      <c r="MEY29" s="240"/>
      <c r="MEZ29" s="239"/>
      <c r="MFA29" s="240"/>
      <c r="MFB29" s="239"/>
      <c r="MFC29" s="240"/>
      <c r="MFD29" s="239"/>
      <c r="MFE29" s="240"/>
      <c r="MFF29" s="239"/>
      <c r="MFG29" s="240"/>
      <c r="MFH29" s="239"/>
      <c r="MFI29" s="240"/>
      <c r="MFJ29" s="239"/>
      <c r="MFK29" s="240"/>
      <c r="MFL29" s="239"/>
      <c r="MFM29" s="240"/>
      <c r="MFN29" s="239"/>
      <c r="MFO29" s="240"/>
      <c r="MFP29" s="239"/>
      <c r="MFQ29" s="240"/>
      <c r="MFR29" s="239"/>
      <c r="MFS29" s="240"/>
      <c r="MFT29" s="239"/>
      <c r="MFU29" s="240"/>
      <c r="MFV29" s="239"/>
      <c r="MFW29" s="240"/>
      <c r="MFX29" s="239"/>
      <c r="MFY29" s="240"/>
      <c r="MFZ29" s="239"/>
      <c r="MGA29" s="240"/>
      <c r="MGB29" s="239"/>
      <c r="MGC29" s="240"/>
      <c r="MGD29" s="239"/>
      <c r="MGE29" s="240"/>
      <c r="MGF29" s="239"/>
      <c r="MGG29" s="240"/>
      <c r="MGH29" s="239"/>
      <c r="MGI29" s="240"/>
      <c r="MGJ29" s="239"/>
      <c r="MGK29" s="240"/>
      <c r="MGL29" s="239"/>
      <c r="MGM29" s="240"/>
      <c r="MGN29" s="239"/>
      <c r="MGO29" s="240"/>
      <c r="MGP29" s="239"/>
      <c r="MGQ29" s="240"/>
      <c r="MGR29" s="239"/>
      <c r="MGS29" s="240"/>
      <c r="MGT29" s="239"/>
      <c r="MGU29" s="240"/>
      <c r="MGV29" s="239"/>
      <c r="MGW29" s="240"/>
      <c r="MGX29" s="239"/>
      <c r="MGY29" s="240"/>
      <c r="MGZ29" s="239"/>
      <c r="MHA29" s="240"/>
      <c r="MHB29" s="239"/>
      <c r="MHC29" s="240"/>
      <c r="MHD29" s="239"/>
      <c r="MHE29" s="240"/>
      <c r="MHF29" s="239"/>
      <c r="MHG29" s="240"/>
      <c r="MHH29" s="239"/>
      <c r="MHI29" s="240"/>
      <c r="MHJ29" s="239"/>
      <c r="MHK29" s="240"/>
      <c r="MHL29" s="239"/>
      <c r="MHM29" s="240"/>
      <c r="MHN29" s="239"/>
      <c r="MHO29" s="240"/>
      <c r="MHP29" s="239"/>
      <c r="MHQ29" s="240"/>
      <c r="MHR29" s="239"/>
      <c r="MHS29" s="240"/>
      <c r="MHT29" s="239"/>
      <c r="MHU29" s="240"/>
      <c r="MHV29" s="239"/>
      <c r="MHW29" s="240"/>
      <c r="MHX29" s="239"/>
      <c r="MHY29" s="240"/>
      <c r="MHZ29" s="239"/>
      <c r="MIA29" s="240"/>
      <c r="MIB29" s="239"/>
      <c r="MIC29" s="240"/>
      <c r="MID29" s="239"/>
      <c r="MIE29" s="240"/>
      <c r="MIF29" s="239"/>
      <c r="MIG29" s="240"/>
      <c r="MIH29" s="239"/>
      <c r="MII29" s="240"/>
      <c r="MIJ29" s="239"/>
      <c r="MIK29" s="240"/>
      <c r="MIL29" s="239"/>
      <c r="MIM29" s="240"/>
      <c r="MIN29" s="239"/>
      <c r="MIO29" s="240"/>
      <c r="MIP29" s="239"/>
      <c r="MIQ29" s="240"/>
      <c r="MIR29" s="239"/>
      <c r="MIS29" s="240"/>
      <c r="MIT29" s="239"/>
      <c r="MIU29" s="240"/>
      <c r="MIV29" s="239"/>
      <c r="MIW29" s="240"/>
      <c r="MIX29" s="239"/>
      <c r="MIY29" s="240"/>
      <c r="MIZ29" s="239"/>
      <c r="MJA29" s="240"/>
      <c r="MJB29" s="239"/>
      <c r="MJC29" s="240"/>
      <c r="MJD29" s="239"/>
      <c r="MJE29" s="240"/>
      <c r="MJF29" s="239"/>
      <c r="MJG29" s="240"/>
      <c r="MJH29" s="239"/>
      <c r="MJI29" s="240"/>
      <c r="MJJ29" s="239"/>
      <c r="MJK29" s="240"/>
      <c r="MJL29" s="239"/>
      <c r="MJM29" s="240"/>
      <c r="MJN29" s="239"/>
      <c r="MJO29" s="240"/>
      <c r="MJP29" s="239"/>
      <c r="MJQ29" s="240"/>
      <c r="MJR29" s="239"/>
      <c r="MJS29" s="240"/>
      <c r="MJT29" s="239"/>
      <c r="MJU29" s="240"/>
      <c r="MJV29" s="239"/>
      <c r="MJW29" s="240"/>
      <c r="MJX29" s="239"/>
      <c r="MJY29" s="240"/>
      <c r="MJZ29" s="239"/>
      <c r="MKA29" s="240"/>
      <c r="MKB29" s="239"/>
      <c r="MKC29" s="240"/>
      <c r="MKD29" s="239"/>
      <c r="MKE29" s="240"/>
      <c r="MKF29" s="239"/>
      <c r="MKG29" s="240"/>
      <c r="MKH29" s="239"/>
      <c r="MKI29" s="240"/>
      <c r="MKJ29" s="239"/>
      <c r="MKK29" s="240"/>
      <c r="MKL29" s="239"/>
      <c r="MKM29" s="240"/>
      <c r="MKN29" s="239"/>
      <c r="MKO29" s="240"/>
      <c r="MKP29" s="239"/>
      <c r="MKQ29" s="240"/>
      <c r="MKR29" s="239"/>
      <c r="MKS29" s="240"/>
      <c r="MKT29" s="239"/>
      <c r="MKU29" s="240"/>
      <c r="MKV29" s="239"/>
      <c r="MKW29" s="240"/>
      <c r="MKX29" s="239"/>
      <c r="MKY29" s="240"/>
      <c r="MKZ29" s="239"/>
      <c r="MLA29" s="240"/>
      <c r="MLB29" s="239"/>
      <c r="MLC29" s="240"/>
      <c r="MLD29" s="239"/>
      <c r="MLE29" s="240"/>
      <c r="MLF29" s="239"/>
      <c r="MLG29" s="240"/>
      <c r="MLH29" s="239"/>
      <c r="MLI29" s="240"/>
      <c r="MLJ29" s="239"/>
      <c r="MLK29" s="240"/>
      <c r="MLL29" s="239"/>
      <c r="MLM29" s="240"/>
      <c r="MLN29" s="239"/>
      <c r="MLO29" s="240"/>
      <c r="MLP29" s="239"/>
      <c r="MLQ29" s="240"/>
      <c r="MLR29" s="239"/>
      <c r="MLS29" s="240"/>
      <c r="MLT29" s="239"/>
      <c r="MLU29" s="240"/>
      <c r="MLV29" s="239"/>
      <c r="MLW29" s="240"/>
      <c r="MLX29" s="239"/>
      <c r="MLY29" s="240"/>
      <c r="MLZ29" s="239"/>
      <c r="MMA29" s="240"/>
      <c r="MMB29" s="239"/>
      <c r="MMC29" s="240"/>
      <c r="MMD29" s="239"/>
      <c r="MME29" s="240"/>
      <c r="MMF29" s="239"/>
      <c r="MMG29" s="240"/>
      <c r="MMH29" s="239"/>
      <c r="MMI29" s="240"/>
      <c r="MMJ29" s="239"/>
      <c r="MMK29" s="240"/>
      <c r="MML29" s="239"/>
      <c r="MMM29" s="240"/>
      <c r="MMN29" s="239"/>
      <c r="MMO29" s="240"/>
      <c r="MMP29" s="239"/>
      <c r="MMQ29" s="240"/>
      <c r="MMR29" s="239"/>
      <c r="MMS29" s="240"/>
      <c r="MMT29" s="239"/>
      <c r="MMU29" s="240"/>
      <c r="MMV29" s="239"/>
      <c r="MMW29" s="240"/>
      <c r="MMX29" s="239"/>
      <c r="MMY29" s="240"/>
      <c r="MMZ29" s="239"/>
      <c r="MNA29" s="240"/>
      <c r="MNB29" s="239"/>
      <c r="MNC29" s="240"/>
      <c r="MND29" s="239"/>
      <c r="MNE29" s="240"/>
      <c r="MNF29" s="239"/>
      <c r="MNG29" s="240"/>
      <c r="MNH29" s="239"/>
      <c r="MNI29" s="240"/>
      <c r="MNJ29" s="239"/>
      <c r="MNK29" s="240"/>
      <c r="MNL29" s="239"/>
      <c r="MNM29" s="240"/>
      <c r="MNN29" s="239"/>
      <c r="MNO29" s="240"/>
      <c r="MNP29" s="239"/>
      <c r="MNQ29" s="240"/>
      <c r="MNR29" s="239"/>
      <c r="MNS29" s="240"/>
      <c r="MNT29" s="239"/>
      <c r="MNU29" s="240"/>
      <c r="MNV29" s="239"/>
      <c r="MNW29" s="240"/>
      <c r="MNX29" s="239"/>
      <c r="MNY29" s="240"/>
      <c r="MNZ29" s="239"/>
      <c r="MOA29" s="240"/>
      <c r="MOB29" s="239"/>
      <c r="MOC29" s="240"/>
      <c r="MOD29" s="239"/>
      <c r="MOE29" s="240"/>
      <c r="MOF29" s="239"/>
      <c r="MOG29" s="240"/>
      <c r="MOH29" s="239"/>
      <c r="MOI29" s="240"/>
      <c r="MOJ29" s="239"/>
      <c r="MOK29" s="240"/>
      <c r="MOL29" s="239"/>
      <c r="MOM29" s="240"/>
      <c r="MON29" s="239"/>
      <c r="MOO29" s="240"/>
      <c r="MOP29" s="239"/>
      <c r="MOQ29" s="240"/>
      <c r="MOR29" s="239"/>
      <c r="MOS29" s="240"/>
      <c r="MOT29" s="239"/>
      <c r="MOU29" s="240"/>
      <c r="MOV29" s="239"/>
      <c r="MOW29" s="240"/>
      <c r="MOX29" s="239"/>
      <c r="MOY29" s="240"/>
      <c r="MOZ29" s="239"/>
      <c r="MPA29" s="240"/>
      <c r="MPB29" s="239"/>
      <c r="MPC29" s="240"/>
      <c r="MPD29" s="239"/>
      <c r="MPE29" s="240"/>
      <c r="MPF29" s="239"/>
      <c r="MPG29" s="240"/>
      <c r="MPH29" s="239"/>
      <c r="MPI29" s="240"/>
      <c r="MPJ29" s="239"/>
      <c r="MPK29" s="240"/>
      <c r="MPL29" s="239"/>
      <c r="MPM29" s="240"/>
      <c r="MPN29" s="239"/>
      <c r="MPO29" s="240"/>
      <c r="MPP29" s="239"/>
      <c r="MPQ29" s="240"/>
      <c r="MPR29" s="239"/>
      <c r="MPS29" s="240"/>
      <c r="MPT29" s="239"/>
      <c r="MPU29" s="240"/>
      <c r="MPV29" s="239"/>
      <c r="MPW29" s="240"/>
      <c r="MPX29" s="239"/>
      <c r="MPY29" s="240"/>
      <c r="MPZ29" s="239"/>
      <c r="MQA29" s="240"/>
      <c r="MQB29" s="239"/>
      <c r="MQC29" s="240"/>
      <c r="MQD29" s="239"/>
      <c r="MQE29" s="240"/>
      <c r="MQF29" s="239"/>
      <c r="MQG29" s="240"/>
      <c r="MQH29" s="239"/>
      <c r="MQI29" s="240"/>
      <c r="MQJ29" s="239"/>
      <c r="MQK29" s="240"/>
      <c r="MQL29" s="239"/>
      <c r="MQM29" s="240"/>
      <c r="MQN29" s="239"/>
      <c r="MQO29" s="240"/>
      <c r="MQP29" s="239"/>
      <c r="MQQ29" s="240"/>
      <c r="MQR29" s="239"/>
      <c r="MQS29" s="240"/>
      <c r="MQT29" s="239"/>
      <c r="MQU29" s="240"/>
      <c r="MQV29" s="239"/>
      <c r="MQW29" s="240"/>
      <c r="MQX29" s="239"/>
      <c r="MQY29" s="240"/>
      <c r="MQZ29" s="239"/>
      <c r="MRA29" s="240"/>
      <c r="MRB29" s="239"/>
      <c r="MRC29" s="240"/>
      <c r="MRD29" s="239"/>
      <c r="MRE29" s="240"/>
      <c r="MRF29" s="239"/>
      <c r="MRG29" s="240"/>
      <c r="MRH29" s="239"/>
      <c r="MRI29" s="240"/>
      <c r="MRJ29" s="239"/>
      <c r="MRK29" s="240"/>
      <c r="MRL29" s="239"/>
      <c r="MRM29" s="240"/>
      <c r="MRN29" s="239"/>
      <c r="MRO29" s="240"/>
      <c r="MRP29" s="239"/>
      <c r="MRQ29" s="240"/>
      <c r="MRR29" s="239"/>
      <c r="MRS29" s="240"/>
      <c r="MRT29" s="239"/>
      <c r="MRU29" s="240"/>
      <c r="MRV29" s="239"/>
      <c r="MRW29" s="240"/>
      <c r="MRX29" s="239"/>
      <c r="MRY29" s="240"/>
      <c r="MRZ29" s="239"/>
      <c r="MSA29" s="240"/>
      <c r="MSB29" s="239"/>
      <c r="MSC29" s="240"/>
      <c r="MSD29" s="239"/>
      <c r="MSE29" s="240"/>
      <c r="MSF29" s="239"/>
      <c r="MSG29" s="240"/>
      <c r="MSH29" s="239"/>
      <c r="MSI29" s="240"/>
      <c r="MSJ29" s="239"/>
      <c r="MSK29" s="240"/>
      <c r="MSL29" s="239"/>
      <c r="MSM29" s="240"/>
      <c r="MSN29" s="239"/>
      <c r="MSO29" s="240"/>
      <c r="MSP29" s="239"/>
      <c r="MSQ29" s="240"/>
      <c r="MSR29" s="239"/>
      <c r="MSS29" s="240"/>
      <c r="MST29" s="239"/>
      <c r="MSU29" s="240"/>
      <c r="MSV29" s="239"/>
      <c r="MSW29" s="240"/>
      <c r="MSX29" s="239"/>
      <c r="MSY29" s="240"/>
      <c r="MSZ29" s="239"/>
      <c r="MTA29" s="240"/>
      <c r="MTB29" s="239"/>
      <c r="MTC29" s="240"/>
      <c r="MTD29" s="239"/>
      <c r="MTE29" s="240"/>
      <c r="MTF29" s="239"/>
      <c r="MTG29" s="240"/>
      <c r="MTH29" s="239"/>
      <c r="MTI29" s="240"/>
      <c r="MTJ29" s="239"/>
      <c r="MTK29" s="240"/>
      <c r="MTL29" s="239"/>
      <c r="MTM29" s="240"/>
      <c r="MTN29" s="239"/>
      <c r="MTO29" s="240"/>
      <c r="MTP29" s="239"/>
      <c r="MTQ29" s="240"/>
      <c r="MTR29" s="239"/>
      <c r="MTS29" s="240"/>
      <c r="MTT29" s="239"/>
      <c r="MTU29" s="240"/>
      <c r="MTV29" s="239"/>
      <c r="MTW29" s="240"/>
      <c r="MTX29" s="239"/>
      <c r="MTY29" s="240"/>
      <c r="MTZ29" s="239"/>
      <c r="MUA29" s="240"/>
      <c r="MUB29" s="239"/>
      <c r="MUC29" s="240"/>
      <c r="MUD29" s="239"/>
      <c r="MUE29" s="240"/>
      <c r="MUF29" s="239"/>
      <c r="MUG29" s="240"/>
      <c r="MUH29" s="239"/>
      <c r="MUI29" s="240"/>
      <c r="MUJ29" s="239"/>
      <c r="MUK29" s="240"/>
      <c r="MUL29" s="239"/>
      <c r="MUM29" s="240"/>
      <c r="MUN29" s="239"/>
      <c r="MUO29" s="240"/>
      <c r="MUP29" s="239"/>
      <c r="MUQ29" s="240"/>
      <c r="MUR29" s="239"/>
      <c r="MUS29" s="240"/>
      <c r="MUT29" s="239"/>
      <c r="MUU29" s="240"/>
      <c r="MUV29" s="239"/>
      <c r="MUW29" s="240"/>
      <c r="MUX29" s="239"/>
      <c r="MUY29" s="240"/>
      <c r="MUZ29" s="239"/>
      <c r="MVA29" s="240"/>
      <c r="MVB29" s="239"/>
      <c r="MVC29" s="240"/>
      <c r="MVD29" s="239"/>
      <c r="MVE29" s="240"/>
      <c r="MVF29" s="239"/>
      <c r="MVG29" s="240"/>
      <c r="MVH29" s="239"/>
      <c r="MVI29" s="240"/>
      <c r="MVJ29" s="239"/>
      <c r="MVK29" s="240"/>
      <c r="MVL29" s="239"/>
      <c r="MVM29" s="240"/>
      <c r="MVN29" s="239"/>
      <c r="MVO29" s="240"/>
      <c r="MVP29" s="239"/>
      <c r="MVQ29" s="240"/>
      <c r="MVR29" s="239"/>
      <c r="MVS29" s="240"/>
      <c r="MVT29" s="239"/>
      <c r="MVU29" s="240"/>
      <c r="MVV29" s="239"/>
      <c r="MVW29" s="240"/>
      <c r="MVX29" s="239"/>
      <c r="MVY29" s="240"/>
      <c r="MVZ29" s="239"/>
      <c r="MWA29" s="240"/>
      <c r="MWB29" s="239"/>
      <c r="MWC29" s="240"/>
      <c r="MWD29" s="239"/>
      <c r="MWE29" s="240"/>
      <c r="MWF29" s="239"/>
      <c r="MWG29" s="240"/>
      <c r="MWH29" s="239"/>
      <c r="MWI29" s="240"/>
      <c r="MWJ29" s="239"/>
      <c r="MWK29" s="240"/>
      <c r="MWL29" s="239"/>
      <c r="MWM29" s="240"/>
      <c r="MWN29" s="239"/>
      <c r="MWO29" s="240"/>
      <c r="MWP29" s="239"/>
      <c r="MWQ29" s="240"/>
      <c r="MWR29" s="239"/>
      <c r="MWS29" s="240"/>
      <c r="MWT29" s="239"/>
      <c r="MWU29" s="240"/>
      <c r="MWV29" s="239"/>
      <c r="MWW29" s="240"/>
      <c r="MWX29" s="239"/>
      <c r="MWY29" s="240"/>
      <c r="MWZ29" s="239"/>
      <c r="MXA29" s="240"/>
      <c r="MXB29" s="239"/>
      <c r="MXC29" s="240"/>
      <c r="MXD29" s="239"/>
      <c r="MXE29" s="240"/>
      <c r="MXF29" s="239"/>
      <c r="MXG29" s="240"/>
      <c r="MXH29" s="239"/>
      <c r="MXI29" s="240"/>
      <c r="MXJ29" s="239"/>
      <c r="MXK29" s="240"/>
      <c r="MXL29" s="239"/>
      <c r="MXM29" s="240"/>
      <c r="MXN29" s="239"/>
      <c r="MXO29" s="240"/>
      <c r="MXP29" s="239"/>
      <c r="MXQ29" s="240"/>
      <c r="MXR29" s="239"/>
      <c r="MXS29" s="240"/>
      <c r="MXT29" s="239"/>
      <c r="MXU29" s="240"/>
      <c r="MXV29" s="239"/>
      <c r="MXW29" s="240"/>
      <c r="MXX29" s="239"/>
      <c r="MXY29" s="240"/>
      <c r="MXZ29" s="239"/>
      <c r="MYA29" s="240"/>
      <c r="MYB29" s="239"/>
      <c r="MYC29" s="240"/>
      <c r="MYD29" s="239"/>
      <c r="MYE29" s="240"/>
      <c r="MYF29" s="239"/>
      <c r="MYG29" s="240"/>
      <c r="MYH29" s="239"/>
      <c r="MYI29" s="240"/>
      <c r="MYJ29" s="239"/>
      <c r="MYK29" s="240"/>
      <c r="MYL29" s="239"/>
      <c r="MYM29" s="240"/>
      <c r="MYN29" s="239"/>
      <c r="MYO29" s="240"/>
      <c r="MYP29" s="239"/>
      <c r="MYQ29" s="240"/>
      <c r="MYR29" s="239"/>
      <c r="MYS29" s="240"/>
      <c r="MYT29" s="239"/>
      <c r="MYU29" s="240"/>
      <c r="MYV29" s="239"/>
      <c r="MYW29" s="240"/>
      <c r="MYX29" s="239"/>
      <c r="MYY29" s="240"/>
      <c r="MYZ29" s="239"/>
      <c r="MZA29" s="240"/>
      <c r="MZB29" s="239"/>
      <c r="MZC29" s="240"/>
      <c r="MZD29" s="239"/>
      <c r="MZE29" s="240"/>
      <c r="MZF29" s="239"/>
      <c r="MZG29" s="240"/>
      <c r="MZH29" s="239"/>
      <c r="MZI29" s="240"/>
      <c r="MZJ29" s="239"/>
      <c r="MZK29" s="240"/>
      <c r="MZL29" s="239"/>
      <c r="MZM29" s="240"/>
      <c r="MZN29" s="239"/>
      <c r="MZO29" s="240"/>
      <c r="MZP29" s="239"/>
      <c r="MZQ29" s="240"/>
      <c r="MZR29" s="239"/>
      <c r="MZS29" s="240"/>
      <c r="MZT29" s="239"/>
      <c r="MZU29" s="240"/>
      <c r="MZV29" s="239"/>
      <c r="MZW29" s="240"/>
      <c r="MZX29" s="239"/>
      <c r="MZY29" s="240"/>
      <c r="MZZ29" s="239"/>
      <c r="NAA29" s="240"/>
      <c r="NAB29" s="239"/>
      <c r="NAC29" s="240"/>
      <c r="NAD29" s="239"/>
      <c r="NAE29" s="240"/>
      <c r="NAF29" s="239"/>
      <c r="NAG29" s="240"/>
      <c r="NAH29" s="239"/>
      <c r="NAI29" s="240"/>
      <c r="NAJ29" s="239"/>
      <c r="NAK29" s="240"/>
      <c r="NAL29" s="239"/>
      <c r="NAM29" s="240"/>
      <c r="NAN29" s="239"/>
      <c r="NAO29" s="240"/>
      <c r="NAP29" s="239"/>
      <c r="NAQ29" s="240"/>
      <c r="NAR29" s="239"/>
      <c r="NAS29" s="240"/>
      <c r="NAT29" s="239"/>
      <c r="NAU29" s="240"/>
      <c r="NAV29" s="239"/>
      <c r="NAW29" s="240"/>
      <c r="NAX29" s="239"/>
      <c r="NAY29" s="240"/>
      <c r="NAZ29" s="239"/>
      <c r="NBA29" s="240"/>
      <c r="NBB29" s="239"/>
      <c r="NBC29" s="240"/>
      <c r="NBD29" s="239"/>
      <c r="NBE29" s="240"/>
      <c r="NBF29" s="239"/>
      <c r="NBG29" s="240"/>
      <c r="NBH29" s="239"/>
      <c r="NBI29" s="240"/>
      <c r="NBJ29" s="239"/>
      <c r="NBK29" s="240"/>
      <c r="NBL29" s="239"/>
      <c r="NBM29" s="240"/>
      <c r="NBN29" s="239"/>
      <c r="NBO29" s="240"/>
      <c r="NBP29" s="239"/>
      <c r="NBQ29" s="240"/>
      <c r="NBR29" s="239"/>
      <c r="NBS29" s="240"/>
      <c r="NBT29" s="239"/>
      <c r="NBU29" s="240"/>
      <c r="NBV29" s="239"/>
      <c r="NBW29" s="240"/>
      <c r="NBX29" s="239"/>
      <c r="NBY29" s="240"/>
      <c r="NBZ29" s="239"/>
      <c r="NCA29" s="240"/>
      <c r="NCB29" s="239"/>
      <c r="NCC29" s="240"/>
      <c r="NCD29" s="239"/>
      <c r="NCE29" s="240"/>
      <c r="NCF29" s="239"/>
      <c r="NCG29" s="240"/>
      <c r="NCH29" s="239"/>
      <c r="NCI29" s="240"/>
      <c r="NCJ29" s="239"/>
      <c r="NCK29" s="240"/>
      <c r="NCL29" s="239"/>
      <c r="NCM29" s="240"/>
      <c r="NCN29" s="239"/>
      <c r="NCO29" s="240"/>
      <c r="NCP29" s="239"/>
      <c r="NCQ29" s="240"/>
      <c r="NCR29" s="239"/>
      <c r="NCS29" s="240"/>
      <c r="NCT29" s="239"/>
      <c r="NCU29" s="240"/>
      <c r="NCV29" s="239"/>
      <c r="NCW29" s="240"/>
      <c r="NCX29" s="239"/>
      <c r="NCY29" s="240"/>
      <c r="NCZ29" s="239"/>
      <c r="NDA29" s="240"/>
      <c r="NDB29" s="239"/>
      <c r="NDC29" s="240"/>
      <c r="NDD29" s="239"/>
      <c r="NDE29" s="240"/>
      <c r="NDF29" s="239"/>
      <c r="NDG29" s="240"/>
      <c r="NDH29" s="239"/>
      <c r="NDI29" s="240"/>
      <c r="NDJ29" s="239"/>
      <c r="NDK29" s="240"/>
      <c r="NDL29" s="239"/>
      <c r="NDM29" s="240"/>
      <c r="NDN29" s="239"/>
      <c r="NDO29" s="240"/>
      <c r="NDP29" s="239"/>
      <c r="NDQ29" s="240"/>
      <c r="NDR29" s="239"/>
      <c r="NDS29" s="240"/>
      <c r="NDT29" s="239"/>
      <c r="NDU29" s="240"/>
      <c r="NDV29" s="239"/>
      <c r="NDW29" s="240"/>
      <c r="NDX29" s="239"/>
      <c r="NDY29" s="240"/>
      <c r="NDZ29" s="239"/>
      <c r="NEA29" s="240"/>
      <c r="NEB29" s="239"/>
      <c r="NEC29" s="240"/>
      <c r="NED29" s="239"/>
      <c r="NEE29" s="240"/>
      <c r="NEF29" s="239"/>
      <c r="NEG29" s="240"/>
      <c r="NEH29" s="239"/>
      <c r="NEI29" s="240"/>
      <c r="NEJ29" s="239"/>
      <c r="NEK29" s="240"/>
      <c r="NEL29" s="239"/>
      <c r="NEM29" s="240"/>
      <c r="NEN29" s="239"/>
      <c r="NEO29" s="240"/>
      <c r="NEP29" s="239"/>
      <c r="NEQ29" s="240"/>
      <c r="NER29" s="239"/>
      <c r="NES29" s="240"/>
      <c r="NET29" s="239"/>
      <c r="NEU29" s="240"/>
      <c r="NEV29" s="239"/>
      <c r="NEW29" s="240"/>
      <c r="NEX29" s="239"/>
      <c r="NEY29" s="240"/>
      <c r="NEZ29" s="239"/>
      <c r="NFA29" s="240"/>
      <c r="NFB29" s="239"/>
      <c r="NFC29" s="240"/>
      <c r="NFD29" s="239"/>
      <c r="NFE29" s="240"/>
      <c r="NFF29" s="239"/>
      <c r="NFG29" s="240"/>
      <c r="NFH29" s="239"/>
      <c r="NFI29" s="240"/>
      <c r="NFJ29" s="239"/>
      <c r="NFK29" s="240"/>
      <c r="NFL29" s="239"/>
      <c r="NFM29" s="240"/>
      <c r="NFN29" s="239"/>
      <c r="NFO29" s="240"/>
      <c r="NFP29" s="239"/>
      <c r="NFQ29" s="240"/>
      <c r="NFR29" s="239"/>
      <c r="NFS29" s="240"/>
      <c r="NFT29" s="239"/>
      <c r="NFU29" s="240"/>
      <c r="NFV29" s="239"/>
      <c r="NFW29" s="240"/>
      <c r="NFX29" s="239"/>
      <c r="NFY29" s="240"/>
      <c r="NFZ29" s="239"/>
      <c r="NGA29" s="240"/>
      <c r="NGB29" s="239"/>
      <c r="NGC29" s="240"/>
      <c r="NGD29" s="239"/>
      <c r="NGE29" s="240"/>
      <c r="NGF29" s="239"/>
      <c r="NGG29" s="240"/>
      <c r="NGH29" s="239"/>
      <c r="NGI29" s="240"/>
      <c r="NGJ29" s="239"/>
      <c r="NGK29" s="240"/>
      <c r="NGL29" s="239"/>
      <c r="NGM29" s="240"/>
      <c r="NGN29" s="239"/>
      <c r="NGO29" s="240"/>
      <c r="NGP29" s="239"/>
      <c r="NGQ29" s="240"/>
      <c r="NGR29" s="239"/>
      <c r="NGS29" s="240"/>
      <c r="NGT29" s="239"/>
      <c r="NGU29" s="240"/>
      <c r="NGV29" s="239"/>
      <c r="NGW29" s="240"/>
      <c r="NGX29" s="239"/>
      <c r="NGY29" s="240"/>
      <c r="NGZ29" s="239"/>
      <c r="NHA29" s="240"/>
      <c r="NHB29" s="239"/>
      <c r="NHC29" s="240"/>
      <c r="NHD29" s="239"/>
      <c r="NHE29" s="240"/>
      <c r="NHF29" s="239"/>
      <c r="NHG29" s="240"/>
      <c r="NHH29" s="239"/>
      <c r="NHI29" s="240"/>
      <c r="NHJ29" s="239"/>
      <c r="NHK29" s="240"/>
      <c r="NHL29" s="239"/>
      <c r="NHM29" s="240"/>
      <c r="NHN29" s="239"/>
      <c r="NHO29" s="240"/>
      <c r="NHP29" s="239"/>
      <c r="NHQ29" s="240"/>
      <c r="NHR29" s="239"/>
      <c r="NHS29" s="240"/>
      <c r="NHT29" s="239"/>
      <c r="NHU29" s="240"/>
      <c r="NHV29" s="239"/>
      <c r="NHW29" s="240"/>
      <c r="NHX29" s="239"/>
      <c r="NHY29" s="240"/>
      <c r="NHZ29" s="239"/>
      <c r="NIA29" s="240"/>
      <c r="NIB29" s="239"/>
      <c r="NIC29" s="240"/>
      <c r="NID29" s="239"/>
      <c r="NIE29" s="240"/>
      <c r="NIF29" s="239"/>
      <c r="NIG29" s="240"/>
      <c r="NIH29" s="239"/>
      <c r="NII29" s="240"/>
      <c r="NIJ29" s="239"/>
      <c r="NIK29" s="240"/>
      <c r="NIL29" s="239"/>
      <c r="NIM29" s="240"/>
      <c r="NIN29" s="239"/>
      <c r="NIO29" s="240"/>
      <c r="NIP29" s="239"/>
      <c r="NIQ29" s="240"/>
      <c r="NIR29" s="239"/>
      <c r="NIS29" s="240"/>
      <c r="NIT29" s="239"/>
      <c r="NIU29" s="240"/>
      <c r="NIV29" s="239"/>
      <c r="NIW29" s="240"/>
      <c r="NIX29" s="239"/>
      <c r="NIY29" s="240"/>
      <c r="NIZ29" s="239"/>
      <c r="NJA29" s="240"/>
      <c r="NJB29" s="239"/>
      <c r="NJC29" s="240"/>
      <c r="NJD29" s="239"/>
      <c r="NJE29" s="240"/>
      <c r="NJF29" s="239"/>
      <c r="NJG29" s="240"/>
      <c r="NJH29" s="239"/>
      <c r="NJI29" s="240"/>
      <c r="NJJ29" s="239"/>
      <c r="NJK29" s="240"/>
      <c r="NJL29" s="239"/>
      <c r="NJM29" s="240"/>
      <c r="NJN29" s="239"/>
      <c r="NJO29" s="240"/>
      <c r="NJP29" s="239"/>
      <c r="NJQ29" s="240"/>
      <c r="NJR29" s="239"/>
      <c r="NJS29" s="240"/>
      <c r="NJT29" s="239"/>
      <c r="NJU29" s="240"/>
      <c r="NJV29" s="239"/>
      <c r="NJW29" s="240"/>
      <c r="NJX29" s="239"/>
      <c r="NJY29" s="240"/>
      <c r="NJZ29" s="239"/>
      <c r="NKA29" s="240"/>
      <c r="NKB29" s="239"/>
      <c r="NKC29" s="240"/>
      <c r="NKD29" s="239"/>
      <c r="NKE29" s="240"/>
      <c r="NKF29" s="239"/>
      <c r="NKG29" s="240"/>
      <c r="NKH29" s="239"/>
      <c r="NKI29" s="240"/>
      <c r="NKJ29" s="239"/>
      <c r="NKK29" s="240"/>
      <c r="NKL29" s="239"/>
      <c r="NKM29" s="240"/>
      <c r="NKN29" s="239"/>
      <c r="NKO29" s="240"/>
      <c r="NKP29" s="239"/>
      <c r="NKQ29" s="240"/>
      <c r="NKR29" s="239"/>
      <c r="NKS29" s="240"/>
      <c r="NKT29" s="239"/>
      <c r="NKU29" s="240"/>
      <c r="NKV29" s="239"/>
      <c r="NKW29" s="240"/>
      <c r="NKX29" s="239"/>
      <c r="NKY29" s="240"/>
      <c r="NKZ29" s="239"/>
      <c r="NLA29" s="240"/>
      <c r="NLB29" s="239"/>
      <c r="NLC29" s="240"/>
      <c r="NLD29" s="239"/>
      <c r="NLE29" s="240"/>
      <c r="NLF29" s="239"/>
      <c r="NLG29" s="240"/>
      <c r="NLH29" s="239"/>
      <c r="NLI29" s="240"/>
      <c r="NLJ29" s="239"/>
      <c r="NLK29" s="240"/>
      <c r="NLL29" s="239"/>
      <c r="NLM29" s="240"/>
      <c r="NLN29" s="239"/>
      <c r="NLO29" s="240"/>
      <c r="NLP29" s="239"/>
      <c r="NLQ29" s="240"/>
      <c r="NLR29" s="239"/>
      <c r="NLS29" s="240"/>
      <c r="NLT29" s="239"/>
      <c r="NLU29" s="240"/>
      <c r="NLV29" s="239"/>
      <c r="NLW29" s="240"/>
      <c r="NLX29" s="239"/>
      <c r="NLY29" s="240"/>
      <c r="NLZ29" s="239"/>
      <c r="NMA29" s="240"/>
      <c r="NMB29" s="239"/>
      <c r="NMC29" s="240"/>
      <c r="NMD29" s="239"/>
      <c r="NME29" s="240"/>
      <c r="NMF29" s="239"/>
      <c r="NMG29" s="240"/>
      <c r="NMH29" s="239"/>
      <c r="NMI29" s="240"/>
      <c r="NMJ29" s="239"/>
      <c r="NMK29" s="240"/>
      <c r="NML29" s="239"/>
      <c r="NMM29" s="240"/>
      <c r="NMN29" s="239"/>
      <c r="NMO29" s="240"/>
      <c r="NMP29" s="239"/>
      <c r="NMQ29" s="240"/>
      <c r="NMR29" s="239"/>
      <c r="NMS29" s="240"/>
      <c r="NMT29" s="239"/>
      <c r="NMU29" s="240"/>
      <c r="NMV29" s="239"/>
      <c r="NMW29" s="240"/>
      <c r="NMX29" s="239"/>
      <c r="NMY29" s="240"/>
      <c r="NMZ29" s="239"/>
      <c r="NNA29" s="240"/>
      <c r="NNB29" s="239"/>
      <c r="NNC29" s="240"/>
      <c r="NND29" s="239"/>
      <c r="NNE29" s="240"/>
      <c r="NNF29" s="239"/>
      <c r="NNG29" s="240"/>
      <c r="NNH29" s="239"/>
      <c r="NNI29" s="240"/>
      <c r="NNJ29" s="239"/>
      <c r="NNK29" s="240"/>
      <c r="NNL29" s="239"/>
      <c r="NNM29" s="240"/>
      <c r="NNN29" s="239"/>
      <c r="NNO29" s="240"/>
      <c r="NNP29" s="239"/>
      <c r="NNQ29" s="240"/>
      <c r="NNR29" s="239"/>
      <c r="NNS29" s="240"/>
      <c r="NNT29" s="239"/>
      <c r="NNU29" s="240"/>
      <c r="NNV29" s="239"/>
      <c r="NNW29" s="240"/>
      <c r="NNX29" s="239"/>
      <c r="NNY29" s="240"/>
      <c r="NNZ29" s="239"/>
      <c r="NOA29" s="240"/>
      <c r="NOB29" s="239"/>
      <c r="NOC29" s="240"/>
      <c r="NOD29" s="239"/>
      <c r="NOE29" s="240"/>
      <c r="NOF29" s="239"/>
      <c r="NOG29" s="240"/>
      <c r="NOH29" s="239"/>
      <c r="NOI29" s="240"/>
      <c r="NOJ29" s="239"/>
      <c r="NOK29" s="240"/>
      <c r="NOL29" s="239"/>
      <c r="NOM29" s="240"/>
      <c r="NON29" s="239"/>
      <c r="NOO29" s="240"/>
      <c r="NOP29" s="239"/>
      <c r="NOQ29" s="240"/>
      <c r="NOR29" s="239"/>
      <c r="NOS29" s="240"/>
      <c r="NOT29" s="239"/>
      <c r="NOU29" s="240"/>
      <c r="NOV29" s="239"/>
      <c r="NOW29" s="240"/>
      <c r="NOX29" s="239"/>
      <c r="NOY29" s="240"/>
      <c r="NOZ29" s="239"/>
      <c r="NPA29" s="240"/>
      <c r="NPB29" s="239"/>
      <c r="NPC29" s="240"/>
      <c r="NPD29" s="239"/>
      <c r="NPE29" s="240"/>
      <c r="NPF29" s="239"/>
      <c r="NPG29" s="240"/>
      <c r="NPH29" s="239"/>
      <c r="NPI29" s="240"/>
      <c r="NPJ29" s="239"/>
      <c r="NPK29" s="240"/>
      <c r="NPL29" s="239"/>
      <c r="NPM29" s="240"/>
      <c r="NPN29" s="239"/>
      <c r="NPO29" s="240"/>
      <c r="NPP29" s="239"/>
      <c r="NPQ29" s="240"/>
      <c r="NPR29" s="239"/>
      <c r="NPS29" s="240"/>
      <c r="NPT29" s="239"/>
      <c r="NPU29" s="240"/>
      <c r="NPV29" s="239"/>
      <c r="NPW29" s="240"/>
      <c r="NPX29" s="239"/>
      <c r="NPY29" s="240"/>
      <c r="NPZ29" s="239"/>
      <c r="NQA29" s="240"/>
      <c r="NQB29" s="239"/>
      <c r="NQC29" s="240"/>
      <c r="NQD29" s="239"/>
      <c r="NQE29" s="240"/>
      <c r="NQF29" s="239"/>
      <c r="NQG29" s="240"/>
      <c r="NQH29" s="239"/>
      <c r="NQI29" s="240"/>
      <c r="NQJ29" s="239"/>
      <c r="NQK29" s="240"/>
      <c r="NQL29" s="239"/>
      <c r="NQM29" s="240"/>
      <c r="NQN29" s="239"/>
      <c r="NQO29" s="240"/>
      <c r="NQP29" s="239"/>
      <c r="NQQ29" s="240"/>
      <c r="NQR29" s="239"/>
      <c r="NQS29" s="240"/>
      <c r="NQT29" s="239"/>
      <c r="NQU29" s="240"/>
      <c r="NQV29" s="239"/>
      <c r="NQW29" s="240"/>
      <c r="NQX29" s="239"/>
      <c r="NQY29" s="240"/>
      <c r="NQZ29" s="239"/>
      <c r="NRA29" s="240"/>
      <c r="NRB29" s="239"/>
      <c r="NRC29" s="240"/>
      <c r="NRD29" s="239"/>
      <c r="NRE29" s="240"/>
      <c r="NRF29" s="239"/>
      <c r="NRG29" s="240"/>
      <c r="NRH29" s="239"/>
      <c r="NRI29" s="240"/>
      <c r="NRJ29" s="239"/>
      <c r="NRK29" s="240"/>
      <c r="NRL29" s="239"/>
      <c r="NRM29" s="240"/>
      <c r="NRN29" s="239"/>
      <c r="NRO29" s="240"/>
      <c r="NRP29" s="239"/>
      <c r="NRQ29" s="240"/>
      <c r="NRR29" s="239"/>
      <c r="NRS29" s="240"/>
      <c r="NRT29" s="239"/>
      <c r="NRU29" s="240"/>
      <c r="NRV29" s="239"/>
      <c r="NRW29" s="240"/>
      <c r="NRX29" s="239"/>
      <c r="NRY29" s="240"/>
      <c r="NRZ29" s="239"/>
      <c r="NSA29" s="240"/>
      <c r="NSB29" s="239"/>
      <c r="NSC29" s="240"/>
      <c r="NSD29" s="239"/>
      <c r="NSE29" s="240"/>
      <c r="NSF29" s="239"/>
      <c r="NSG29" s="240"/>
      <c r="NSH29" s="239"/>
      <c r="NSI29" s="240"/>
      <c r="NSJ29" s="239"/>
      <c r="NSK29" s="240"/>
      <c r="NSL29" s="239"/>
      <c r="NSM29" s="240"/>
      <c r="NSN29" s="239"/>
      <c r="NSO29" s="240"/>
      <c r="NSP29" s="239"/>
      <c r="NSQ29" s="240"/>
      <c r="NSR29" s="239"/>
      <c r="NSS29" s="240"/>
      <c r="NST29" s="239"/>
      <c r="NSU29" s="240"/>
      <c r="NSV29" s="239"/>
      <c r="NSW29" s="240"/>
      <c r="NSX29" s="239"/>
      <c r="NSY29" s="240"/>
      <c r="NSZ29" s="239"/>
      <c r="NTA29" s="240"/>
      <c r="NTB29" s="239"/>
      <c r="NTC29" s="240"/>
      <c r="NTD29" s="239"/>
      <c r="NTE29" s="240"/>
      <c r="NTF29" s="239"/>
      <c r="NTG29" s="240"/>
      <c r="NTH29" s="239"/>
      <c r="NTI29" s="240"/>
      <c r="NTJ29" s="239"/>
      <c r="NTK29" s="240"/>
      <c r="NTL29" s="239"/>
      <c r="NTM29" s="240"/>
      <c r="NTN29" s="239"/>
      <c r="NTO29" s="240"/>
      <c r="NTP29" s="239"/>
      <c r="NTQ29" s="240"/>
      <c r="NTR29" s="239"/>
      <c r="NTS29" s="240"/>
      <c r="NTT29" s="239"/>
      <c r="NTU29" s="240"/>
      <c r="NTV29" s="239"/>
      <c r="NTW29" s="240"/>
      <c r="NTX29" s="239"/>
      <c r="NTY29" s="240"/>
      <c r="NTZ29" s="239"/>
      <c r="NUA29" s="240"/>
      <c r="NUB29" s="239"/>
      <c r="NUC29" s="240"/>
      <c r="NUD29" s="239"/>
      <c r="NUE29" s="240"/>
      <c r="NUF29" s="239"/>
      <c r="NUG29" s="240"/>
      <c r="NUH29" s="239"/>
      <c r="NUI29" s="240"/>
      <c r="NUJ29" s="239"/>
      <c r="NUK29" s="240"/>
      <c r="NUL29" s="239"/>
      <c r="NUM29" s="240"/>
      <c r="NUN29" s="239"/>
      <c r="NUO29" s="240"/>
      <c r="NUP29" s="239"/>
      <c r="NUQ29" s="240"/>
      <c r="NUR29" s="239"/>
      <c r="NUS29" s="240"/>
      <c r="NUT29" s="239"/>
      <c r="NUU29" s="240"/>
      <c r="NUV29" s="239"/>
      <c r="NUW29" s="240"/>
      <c r="NUX29" s="239"/>
      <c r="NUY29" s="240"/>
      <c r="NUZ29" s="239"/>
      <c r="NVA29" s="240"/>
      <c r="NVB29" s="239"/>
      <c r="NVC29" s="240"/>
      <c r="NVD29" s="239"/>
      <c r="NVE29" s="240"/>
      <c r="NVF29" s="239"/>
      <c r="NVG29" s="240"/>
      <c r="NVH29" s="239"/>
      <c r="NVI29" s="240"/>
      <c r="NVJ29" s="239"/>
      <c r="NVK29" s="240"/>
      <c r="NVL29" s="239"/>
      <c r="NVM29" s="240"/>
      <c r="NVN29" s="239"/>
      <c r="NVO29" s="240"/>
      <c r="NVP29" s="239"/>
      <c r="NVQ29" s="240"/>
      <c r="NVR29" s="239"/>
      <c r="NVS29" s="240"/>
      <c r="NVT29" s="239"/>
      <c r="NVU29" s="240"/>
      <c r="NVV29" s="239"/>
      <c r="NVW29" s="240"/>
      <c r="NVX29" s="239"/>
      <c r="NVY29" s="240"/>
      <c r="NVZ29" s="239"/>
      <c r="NWA29" s="240"/>
      <c r="NWB29" s="239"/>
      <c r="NWC29" s="240"/>
      <c r="NWD29" s="239"/>
      <c r="NWE29" s="240"/>
      <c r="NWF29" s="239"/>
      <c r="NWG29" s="240"/>
      <c r="NWH29" s="239"/>
      <c r="NWI29" s="240"/>
      <c r="NWJ29" s="239"/>
      <c r="NWK29" s="240"/>
      <c r="NWL29" s="239"/>
      <c r="NWM29" s="240"/>
      <c r="NWN29" s="239"/>
      <c r="NWO29" s="240"/>
      <c r="NWP29" s="239"/>
      <c r="NWQ29" s="240"/>
      <c r="NWR29" s="239"/>
      <c r="NWS29" s="240"/>
      <c r="NWT29" s="239"/>
      <c r="NWU29" s="240"/>
      <c r="NWV29" s="239"/>
      <c r="NWW29" s="240"/>
      <c r="NWX29" s="239"/>
      <c r="NWY29" s="240"/>
      <c r="NWZ29" s="239"/>
      <c r="NXA29" s="240"/>
      <c r="NXB29" s="239"/>
      <c r="NXC29" s="240"/>
      <c r="NXD29" s="239"/>
      <c r="NXE29" s="240"/>
      <c r="NXF29" s="239"/>
      <c r="NXG29" s="240"/>
      <c r="NXH29" s="239"/>
      <c r="NXI29" s="240"/>
      <c r="NXJ29" s="239"/>
      <c r="NXK29" s="240"/>
      <c r="NXL29" s="239"/>
      <c r="NXM29" s="240"/>
      <c r="NXN29" s="239"/>
      <c r="NXO29" s="240"/>
      <c r="NXP29" s="239"/>
      <c r="NXQ29" s="240"/>
      <c r="NXR29" s="239"/>
      <c r="NXS29" s="240"/>
      <c r="NXT29" s="239"/>
      <c r="NXU29" s="240"/>
      <c r="NXV29" s="239"/>
      <c r="NXW29" s="240"/>
      <c r="NXX29" s="239"/>
      <c r="NXY29" s="240"/>
      <c r="NXZ29" s="239"/>
      <c r="NYA29" s="240"/>
      <c r="NYB29" s="239"/>
      <c r="NYC29" s="240"/>
      <c r="NYD29" s="239"/>
      <c r="NYE29" s="240"/>
      <c r="NYF29" s="239"/>
      <c r="NYG29" s="240"/>
      <c r="NYH29" s="239"/>
      <c r="NYI29" s="240"/>
      <c r="NYJ29" s="239"/>
      <c r="NYK29" s="240"/>
      <c r="NYL29" s="239"/>
      <c r="NYM29" s="240"/>
      <c r="NYN29" s="239"/>
      <c r="NYO29" s="240"/>
      <c r="NYP29" s="239"/>
      <c r="NYQ29" s="240"/>
      <c r="NYR29" s="239"/>
      <c r="NYS29" s="240"/>
      <c r="NYT29" s="239"/>
      <c r="NYU29" s="240"/>
      <c r="NYV29" s="239"/>
      <c r="NYW29" s="240"/>
      <c r="NYX29" s="239"/>
      <c r="NYY29" s="240"/>
      <c r="NYZ29" s="239"/>
      <c r="NZA29" s="240"/>
      <c r="NZB29" s="239"/>
      <c r="NZC29" s="240"/>
      <c r="NZD29" s="239"/>
      <c r="NZE29" s="240"/>
      <c r="NZF29" s="239"/>
      <c r="NZG29" s="240"/>
      <c r="NZH29" s="239"/>
      <c r="NZI29" s="240"/>
      <c r="NZJ29" s="239"/>
      <c r="NZK29" s="240"/>
      <c r="NZL29" s="239"/>
      <c r="NZM29" s="240"/>
      <c r="NZN29" s="239"/>
      <c r="NZO29" s="240"/>
      <c r="NZP29" s="239"/>
      <c r="NZQ29" s="240"/>
      <c r="NZR29" s="239"/>
      <c r="NZS29" s="240"/>
      <c r="NZT29" s="239"/>
      <c r="NZU29" s="240"/>
      <c r="NZV29" s="239"/>
      <c r="NZW29" s="240"/>
      <c r="NZX29" s="239"/>
      <c r="NZY29" s="240"/>
      <c r="NZZ29" s="239"/>
      <c r="OAA29" s="240"/>
      <c r="OAB29" s="239"/>
      <c r="OAC29" s="240"/>
      <c r="OAD29" s="239"/>
      <c r="OAE29" s="240"/>
      <c r="OAF29" s="239"/>
      <c r="OAG29" s="240"/>
      <c r="OAH29" s="239"/>
      <c r="OAI29" s="240"/>
      <c r="OAJ29" s="239"/>
      <c r="OAK29" s="240"/>
      <c r="OAL29" s="239"/>
      <c r="OAM29" s="240"/>
      <c r="OAN29" s="239"/>
      <c r="OAO29" s="240"/>
      <c r="OAP29" s="239"/>
      <c r="OAQ29" s="240"/>
      <c r="OAR29" s="239"/>
      <c r="OAS29" s="240"/>
      <c r="OAT29" s="239"/>
      <c r="OAU29" s="240"/>
      <c r="OAV29" s="239"/>
      <c r="OAW29" s="240"/>
      <c r="OAX29" s="239"/>
      <c r="OAY29" s="240"/>
      <c r="OAZ29" s="239"/>
      <c r="OBA29" s="240"/>
      <c r="OBB29" s="239"/>
      <c r="OBC29" s="240"/>
      <c r="OBD29" s="239"/>
      <c r="OBE29" s="240"/>
      <c r="OBF29" s="239"/>
      <c r="OBG29" s="240"/>
      <c r="OBH29" s="239"/>
      <c r="OBI29" s="240"/>
      <c r="OBJ29" s="239"/>
      <c r="OBK29" s="240"/>
      <c r="OBL29" s="239"/>
      <c r="OBM29" s="240"/>
      <c r="OBN29" s="239"/>
      <c r="OBO29" s="240"/>
      <c r="OBP29" s="239"/>
      <c r="OBQ29" s="240"/>
      <c r="OBR29" s="239"/>
      <c r="OBS29" s="240"/>
      <c r="OBT29" s="239"/>
      <c r="OBU29" s="240"/>
      <c r="OBV29" s="239"/>
      <c r="OBW29" s="240"/>
      <c r="OBX29" s="239"/>
      <c r="OBY29" s="240"/>
      <c r="OBZ29" s="239"/>
      <c r="OCA29" s="240"/>
      <c r="OCB29" s="239"/>
      <c r="OCC29" s="240"/>
      <c r="OCD29" s="239"/>
      <c r="OCE29" s="240"/>
      <c r="OCF29" s="239"/>
      <c r="OCG29" s="240"/>
      <c r="OCH29" s="239"/>
      <c r="OCI29" s="240"/>
      <c r="OCJ29" s="239"/>
      <c r="OCK29" s="240"/>
      <c r="OCL29" s="239"/>
      <c r="OCM29" s="240"/>
      <c r="OCN29" s="239"/>
      <c r="OCO29" s="240"/>
      <c r="OCP29" s="239"/>
      <c r="OCQ29" s="240"/>
      <c r="OCR29" s="239"/>
      <c r="OCS29" s="240"/>
      <c r="OCT29" s="239"/>
      <c r="OCU29" s="240"/>
      <c r="OCV29" s="239"/>
      <c r="OCW29" s="240"/>
      <c r="OCX29" s="239"/>
      <c r="OCY29" s="240"/>
      <c r="OCZ29" s="239"/>
      <c r="ODA29" s="240"/>
      <c r="ODB29" s="239"/>
      <c r="ODC29" s="240"/>
      <c r="ODD29" s="239"/>
      <c r="ODE29" s="240"/>
      <c r="ODF29" s="239"/>
      <c r="ODG29" s="240"/>
      <c r="ODH29" s="239"/>
      <c r="ODI29" s="240"/>
      <c r="ODJ29" s="239"/>
      <c r="ODK29" s="240"/>
      <c r="ODL29" s="239"/>
      <c r="ODM29" s="240"/>
      <c r="ODN29" s="239"/>
      <c r="ODO29" s="240"/>
      <c r="ODP29" s="239"/>
      <c r="ODQ29" s="240"/>
      <c r="ODR29" s="239"/>
      <c r="ODS29" s="240"/>
      <c r="ODT29" s="239"/>
      <c r="ODU29" s="240"/>
      <c r="ODV29" s="239"/>
      <c r="ODW29" s="240"/>
      <c r="ODX29" s="239"/>
      <c r="ODY29" s="240"/>
      <c r="ODZ29" s="239"/>
      <c r="OEA29" s="240"/>
      <c r="OEB29" s="239"/>
      <c r="OEC29" s="240"/>
      <c r="OED29" s="239"/>
      <c r="OEE29" s="240"/>
      <c r="OEF29" s="239"/>
      <c r="OEG29" s="240"/>
      <c r="OEH29" s="239"/>
      <c r="OEI29" s="240"/>
      <c r="OEJ29" s="239"/>
      <c r="OEK29" s="240"/>
      <c r="OEL29" s="239"/>
      <c r="OEM29" s="240"/>
      <c r="OEN29" s="239"/>
      <c r="OEO29" s="240"/>
      <c r="OEP29" s="239"/>
      <c r="OEQ29" s="240"/>
      <c r="OER29" s="239"/>
      <c r="OES29" s="240"/>
      <c r="OET29" s="239"/>
      <c r="OEU29" s="240"/>
      <c r="OEV29" s="239"/>
      <c r="OEW29" s="240"/>
      <c r="OEX29" s="239"/>
      <c r="OEY29" s="240"/>
      <c r="OEZ29" s="239"/>
      <c r="OFA29" s="240"/>
      <c r="OFB29" s="239"/>
      <c r="OFC29" s="240"/>
      <c r="OFD29" s="239"/>
      <c r="OFE29" s="240"/>
      <c r="OFF29" s="239"/>
      <c r="OFG29" s="240"/>
      <c r="OFH29" s="239"/>
      <c r="OFI29" s="240"/>
      <c r="OFJ29" s="239"/>
      <c r="OFK29" s="240"/>
      <c r="OFL29" s="239"/>
      <c r="OFM29" s="240"/>
      <c r="OFN29" s="239"/>
      <c r="OFO29" s="240"/>
      <c r="OFP29" s="239"/>
      <c r="OFQ29" s="240"/>
      <c r="OFR29" s="239"/>
      <c r="OFS29" s="240"/>
      <c r="OFT29" s="239"/>
      <c r="OFU29" s="240"/>
      <c r="OFV29" s="239"/>
      <c r="OFW29" s="240"/>
      <c r="OFX29" s="239"/>
      <c r="OFY29" s="240"/>
      <c r="OFZ29" s="239"/>
      <c r="OGA29" s="240"/>
      <c r="OGB29" s="239"/>
      <c r="OGC29" s="240"/>
      <c r="OGD29" s="239"/>
      <c r="OGE29" s="240"/>
      <c r="OGF29" s="239"/>
      <c r="OGG29" s="240"/>
      <c r="OGH29" s="239"/>
      <c r="OGI29" s="240"/>
      <c r="OGJ29" s="239"/>
      <c r="OGK29" s="240"/>
      <c r="OGL29" s="239"/>
      <c r="OGM29" s="240"/>
      <c r="OGN29" s="239"/>
      <c r="OGO29" s="240"/>
      <c r="OGP29" s="239"/>
      <c r="OGQ29" s="240"/>
      <c r="OGR29" s="239"/>
      <c r="OGS29" s="240"/>
      <c r="OGT29" s="239"/>
      <c r="OGU29" s="240"/>
      <c r="OGV29" s="239"/>
      <c r="OGW29" s="240"/>
      <c r="OGX29" s="239"/>
      <c r="OGY29" s="240"/>
      <c r="OGZ29" s="239"/>
      <c r="OHA29" s="240"/>
      <c r="OHB29" s="239"/>
      <c r="OHC29" s="240"/>
      <c r="OHD29" s="239"/>
      <c r="OHE29" s="240"/>
      <c r="OHF29" s="239"/>
      <c r="OHG29" s="240"/>
      <c r="OHH29" s="239"/>
      <c r="OHI29" s="240"/>
      <c r="OHJ29" s="239"/>
      <c r="OHK29" s="240"/>
      <c r="OHL29" s="239"/>
      <c r="OHM29" s="240"/>
      <c r="OHN29" s="239"/>
      <c r="OHO29" s="240"/>
      <c r="OHP29" s="239"/>
      <c r="OHQ29" s="240"/>
      <c r="OHR29" s="239"/>
      <c r="OHS29" s="240"/>
      <c r="OHT29" s="239"/>
      <c r="OHU29" s="240"/>
      <c r="OHV29" s="239"/>
      <c r="OHW29" s="240"/>
      <c r="OHX29" s="239"/>
      <c r="OHY29" s="240"/>
      <c r="OHZ29" s="239"/>
      <c r="OIA29" s="240"/>
      <c r="OIB29" s="239"/>
      <c r="OIC29" s="240"/>
      <c r="OID29" s="239"/>
      <c r="OIE29" s="240"/>
      <c r="OIF29" s="239"/>
      <c r="OIG29" s="240"/>
      <c r="OIH29" s="239"/>
      <c r="OII29" s="240"/>
      <c r="OIJ29" s="239"/>
      <c r="OIK29" s="240"/>
      <c r="OIL29" s="239"/>
      <c r="OIM29" s="240"/>
      <c r="OIN29" s="239"/>
      <c r="OIO29" s="240"/>
      <c r="OIP29" s="239"/>
      <c r="OIQ29" s="240"/>
      <c r="OIR29" s="239"/>
      <c r="OIS29" s="240"/>
      <c r="OIT29" s="239"/>
      <c r="OIU29" s="240"/>
      <c r="OIV29" s="239"/>
      <c r="OIW29" s="240"/>
      <c r="OIX29" s="239"/>
      <c r="OIY29" s="240"/>
      <c r="OIZ29" s="239"/>
      <c r="OJA29" s="240"/>
      <c r="OJB29" s="239"/>
      <c r="OJC29" s="240"/>
      <c r="OJD29" s="239"/>
      <c r="OJE29" s="240"/>
      <c r="OJF29" s="239"/>
      <c r="OJG29" s="240"/>
      <c r="OJH29" s="239"/>
      <c r="OJI29" s="240"/>
      <c r="OJJ29" s="239"/>
      <c r="OJK29" s="240"/>
      <c r="OJL29" s="239"/>
      <c r="OJM29" s="240"/>
      <c r="OJN29" s="239"/>
      <c r="OJO29" s="240"/>
      <c r="OJP29" s="239"/>
      <c r="OJQ29" s="240"/>
      <c r="OJR29" s="239"/>
      <c r="OJS29" s="240"/>
      <c r="OJT29" s="239"/>
      <c r="OJU29" s="240"/>
      <c r="OJV29" s="239"/>
      <c r="OJW29" s="240"/>
      <c r="OJX29" s="239"/>
      <c r="OJY29" s="240"/>
      <c r="OJZ29" s="239"/>
      <c r="OKA29" s="240"/>
      <c r="OKB29" s="239"/>
      <c r="OKC29" s="240"/>
      <c r="OKD29" s="239"/>
      <c r="OKE29" s="240"/>
      <c r="OKF29" s="239"/>
      <c r="OKG29" s="240"/>
      <c r="OKH29" s="239"/>
      <c r="OKI29" s="240"/>
      <c r="OKJ29" s="239"/>
      <c r="OKK29" s="240"/>
      <c r="OKL29" s="239"/>
      <c r="OKM29" s="240"/>
      <c r="OKN29" s="239"/>
      <c r="OKO29" s="240"/>
      <c r="OKP29" s="239"/>
      <c r="OKQ29" s="240"/>
      <c r="OKR29" s="239"/>
      <c r="OKS29" s="240"/>
      <c r="OKT29" s="239"/>
      <c r="OKU29" s="240"/>
      <c r="OKV29" s="239"/>
      <c r="OKW29" s="240"/>
      <c r="OKX29" s="239"/>
      <c r="OKY29" s="240"/>
      <c r="OKZ29" s="239"/>
      <c r="OLA29" s="240"/>
      <c r="OLB29" s="239"/>
      <c r="OLC29" s="240"/>
      <c r="OLD29" s="239"/>
      <c r="OLE29" s="240"/>
      <c r="OLF29" s="239"/>
      <c r="OLG29" s="240"/>
      <c r="OLH29" s="239"/>
      <c r="OLI29" s="240"/>
      <c r="OLJ29" s="239"/>
      <c r="OLK29" s="240"/>
      <c r="OLL29" s="239"/>
      <c r="OLM29" s="240"/>
      <c r="OLN29" s="239"/>
      <c r="OLO29" s="240"/>
      <c r="OLP29" s="239"/>
      <c r="OLQ29" s="240"/>
      <c r="OLR29" s="239"/>
      <c r="OLS29" s="240"/>
      <c r="OLT29" s="239"/>
      <c r="OLU29" s="240"/>
      <c r="OLV29" s="239"/>
      <c r="OLW29" s="240"/>
      <c r="OLX29" s="239"/>
      <c r="OLY29" s="240"/>
      <c r="OLZ29" s="239"/>
      <c r="OMA29" s="240"/>
      <c r="OMB29" s="239"/>
      <c r="OMC29" s="240"/>
      <c r="OMD29" s="239"/>
      <c r="OME29" s="240"/>
      <c r="OMF29" s="239"/>
      <c r="OMG29" s="240"/>
      <c r="OMH29" s="239"/>
      <c r="OMI29" s="240"/>
      <c r="OMJ29" s="239"/>
      <c r="OMK29" s="240"/>
      <c r="OML29" s="239"/>
      <c r="OMM29" s="240"/>
      <c r="OMN29" s="239"/>
      <c r="OMO29" s="240"/>
      <c r="OMP29" s="239"/>
      <c r="OMQ29" s="240"/>
      <c r="OMR29" s="239"/>
      <c r="OMS29" s="240"/>
      <c r="OMT29" s="239"/>
      <c r="OMU29" s="240"/>
      <c r="OMV29" s="239"/>
      <c r="OMW29" s="240"/>
      <c r="OMX29" s="239"/>
      <c r="OMY29" s="240"/>
      <c r="OMZ29" s="239"/>
      <c r="ONA29" s="240"/>
      <c r="ONB29" s="239"/>
      <c r="ONC29" s="240"/>
      <c r="OND29" s="239"/>
      <c r="ONE29" s="240"/>
      <c r="ONF29" s="239"/>
      <c r="ONG29" s="240"/>
      <c r="ONH29" s="239"/>
      <c r="ONI29" s="240"/>
      <c r="ONJ29" s="239"/>
      <c r="ONK29" s="240"/>
      <c r="ONL29" s="239"/>
      <c r="ONM29" s="240"/>
      <c r="ONN29" s="239"/>
      <c r="ONO29" s="240"/>
      <c r="ONP29" s="239"/>
      <c r="ONQ29" s="240"/>
      <c r="ONR29" s="239"/>
      <c r="ONS29" s="240"/>
      <c r="ONT29" s="239"/>
      <c r="ONU29" s="240"/>
      <c r="ONV29" s="239"/>
      <c r="ONW29" s="240"/>
      <c r="ONX29" s="239"/>
      <c r="ONY29" s="240"/>
      <c r="ONZ29" s="239"/>
      <c r="OOA29" s="240"/>
      <c r="OOB29" s="239"/>
      <c r="OOC29" s="240"/>
      <c r="OOD29" s="239"/>
      <c r="OOE29" s="240"/>
      <c r="OOF29" s="239"/>
      <c r="OOG29" s="240"/>
      <c r="OOH29" s="239"/>
      <c r="OOI29" s="240"/>
      <c r="OOJ29" s="239"/>
      <c r="OOK29" s="240"/>
      <c r="OOL29" s="239"/>
      <c r="OOM29" s="240"/>
      <c r="OON29" s="239"/>
      <c r="OOO29" s="240"/>
      <c r="OOP29" s="239"/>
      <c r="OOQ29" s="240"/>
      <c r="OOR29" s="239"/>
      <c r="OOS29" s="240"/>
      <c r="OOT29" s="239"/>
      <c r="OOU29" s="240"/>
      <c r="OOV29" s="239"/>
      <c r="OOW29" s="240"/>
      <c r="OOX29" s="239"/>
      <c r="OOY29" s="240"/>
      <c r="OOZ29" s="239"/>
      <c r="OPA29" s="240"/>
      <c r="OPB29" s="239"/>
      <c r="OPC29" s="240"/>
      <c r="OPD29" s="239"/>
      <c r="OPE29" s="240"/>
      <c r="OPF29" s="239"/>
      <c r="OPG29" s="240"/>
      <c r="OPH29" s="239"/>
      <c r="OPI29" s="240"/>
      <c r="OPJ29" s="239"/>
      <c r="OPK29" s="240"/>
      <c r="OPL29" s="239"/>
      <c r="OPM29" s="240"/>
      <c r="OPN29" s="239"/>
      <c r="OPO29" s="240"/>
      <c r="OPP29" s="239"/>
      <c r="OPQ29" s="240"/>
      <c r="OPR29" s="239"/>
      <c r="OPS29" s="240"/>
      <c r="OPT29" s="239"/>
      <c r="OPU29" s="240"/>
      <c r="OPV29" s="239"/>
      <c r="OPW29" s="240"/>
      <c r="OPX29" s="239"/>
      <c r="OPY29" s="240"/>
      <c r="OPZ29" s="239"/>
      <c r="OQA29" s="240"/>
      <c r="OQB29" s="239"/>
      <c r="OQC29" s="240"/>
      <c r="OQD29" s="239"/>
      <c r="OQE29" s="240"/>
      <c r="OQF29" s="239"/>
      <c r="OQG29" s="240"/>
      <c r="OQH29" s="239"/>
      <c r="OQI29" s="240"/>
      <c r="OQJ29" s="239"/>
      <c r="OQK29" s="240"/>
      <c r="OQL29" s="239"/>
      <c r="OQM29" s="240"/>
      <c r="OQN29" s="239"/>
      <c r="OQO29" s="240"/>
      <c r="OQP29" s="239"/>
      <c r="OQQ29" s="240"/>
      <c r="OQR29" s="239"/>
      <c r="OQS29" s="240"/>
      <c r="OQT29" s="239"/>
      <c r="OQU29" s="240"/>
      <c r="OQV29" s="239"/>
      <c r="OQW29" s="240"/>
      <c r="OQX29" s="239"/>
      <c r="OQY29" s="240"/>
      <c r="OQZ29" s="239"/>
      <c r="ORA29" s="240"/>
      <c r="ORB29" s="239"/>
      <c r="ORC29" s="240"/>
      <c r="ORD29" s="239"/>
      <c r="ORE29" s="240"/>
      <c r="ORF29" s="239"/>
      <c r="ORG29" s="240"/>
      <c r="ORH29" s="239"/>
      <c r="ORI29" s="240"/>
      <c r="ORJ29" s="239"/>
      <c r="ORK29" s="240"/>
      <c r="ORL29" s="239"/>
      <c r="ORM29" s="240"/>
      <c r="ORN29" s="239"/>
      <c r="ORO29" s="240"/>
      <c r="ORP29" s="239"/>
      <c r="ORQ29" s="240"/>
      <c r="ORR29" s="239"/>
      <c r="ORS29" s="240"/>
      <c r="ORT29" s="239"/>
      <c r="ORU29" s="240"/>
      <c r="ORV29" s="239"/>
      <c r="ORW29" s="240"/>
      <c r="ORX29" s="239"/>
      <c r="ORY29" s="240"/>
      <c r="ORZ29" s="239"/>
      <c r="OSA29" s="240"/>
      <c r="OSB29" s="239"/>
      <c r="OSC29" s="240"/>
      <c r="OSD29" s="239"/>
      <c r="OSE29" s="240"/>
      <c r="OSF29" s="239"/>
      <c r="OSG29" s="240"/>
      <c r="OSH29" s="239"/>
      <c r="OSI29" s="240"/>
      <c r="OSJ29" s="239"/>
      <c r="OSK29" s="240"/>
      <c r="OSL29" s="239"/>
      <c r="OSM29" s="240"/>
      <c r="OSN29" s="239"/>
      <c r="OSO29" s="240"/>
      <c r="OSP29" s="239"/>
      <c r="OSQ29" s="240"/>
      <c r="OSR29" s="239"/>
      <c r="OSS29" s="240"/>
      <c r="OST29" s="239"/>
      <c r="OSU29" s="240"/>
      <c r="OSV29" s="239"/>
      <c r="OSW29" s="240"/>
      <c r="OSX29" s="239"/>
      <c r="OSY29" s="240"/>
      <c r="OSZ29" s="239"/>
      <c r="OTA29" s="240"/>
      <c r="OTB29" s="239"/>
      <c r="OTC29" s="240"/>
      <c r="OTD29" s="239"/>
      <c r="OTE29" s="240"/>
      <c r="OTF29" s="239"/>
      <c r="OTG29" s="240"/>
      <c r="OTH29" s="239"/>
      <c r="OTI29" s="240"/>
      <c r="OTJ29" s="239"/>
      <c r="OTK29" s="240"/>
      <c r="OTL29" s="239"/>
      <c r="OTM29" s="240"/>
      <c r="OTN29" s="239"/>
      <c r="OTO29" s="240"/>
      <c r="OTP29" s="239"/>
      <c r="OTQ29" s="240"/>
      <c r="OTR29" s="239"/>
      <c r="OTS29" s="240"/>
      <c r="OTT29" s="239"/>
      <c r="OTU29" s="240"/>
      <c r="OTV29" s="239"/>
      <c r="OTW29" s="240"/>
      <c r="OTX29" s="239"/>
      <c r="OTY29" s="240"/>
      <c r="OTZ29" s="239"/>
      <c r="OUA29" s="240"/>
      <c r="OUB29" s="239"/>
      <c r="OUC29" s="240"/>
      <c r="OUD29" s="239"/>
      <c r="OUE29" s="240"/>
      <c r="OUF29" s="239"/>
      <c r="OUG29" s="240"/>
      <c r="OUH29" s="239"/>
      <c r="OUI29" s="240"/>
      <c r="OUJ29" s="239"/>
      <c r="OUK29" s="240"/>
      <c r="OUL29" s="239"/>
      <c r="OUM29" s="240"/>
      <c r="OUN29" s="239"/>
      <c r="OUO29" s="240"/>
      <c r="OUP29" s="239"/>
      <c r="OUQ29" s="240"/>
      <c r="OUR29" s="239"/>
      <c r="OUS29" s="240"/>
      <c r="OUT29" s="239"/>
      <c r="OUU29" s="240"/>
      <c r="OUV29" s="239"/>
      <c r="OUW29" s="240"/>
      <c r="OUX29" s="239"/>
      <c r="OUY29" s="240"/>
      <c r="OUZ29" s="239"/>
      <c r="OVA29" s="240"/>
      <c r="OVB29" s="239"/>
      <c r="OVC29" s="240"/>
      <c r="OVD29" s="239"/>
      <c r="OVE29" s="240"/>
      <c r="OVF29" s="239"/>
      <c r="OVG29" s="240"/>
      <c r="OVH29" s="239"/>
      <c r="OVI29" s="240"/>
      <c r="OVJ29" s="239"/>
      <c r="OVK29" s="240"/>
      <c r="OVL29" s="239"/>
      <c r="OVM29" s="240"/>
      <c r="OVN29" s="239"/>
      <c r="OVO29" s="240"/>
      <c r="OVP29" s="239"/>
      <c r="OVQ29" s="240"/>
      <c r="OVR29" s="239"/>
      <c r="OVS29" s="240"/>
      <c r="OVT29" s="239"/>
      <c r="OVU29" s="240"/>
      <c r="OVV29" s="239"/>
      <c r="OVW29" s="240"/>
      <c r="OVX29" s="239"/>
      <c r="OVY29" s="240"/>
      <c r="OVZ29" s="239"/>
      <c r="OWA29" s="240"/>
      <c r="OWB29" s="239"/>
      <c r="OWC29" s="240"/>
      <c r="OWD29" s="239"/>
      <c r="OWE29" s="240"/>
      <c r="OWF29" s="239"/>
      <c r="OWG29" s="240"/>
      <c r="OWH29" s="239"/>
      <c r="OWI29" s="240"/>
      <c r="OWJ29" s="239"/>
      <c r="OWK29" s="240"/>
      <c r="OWL29" s="239"/>
      <c r="OWM29" s="240"/>
      <c r="OWN29" s="239"/>
      <c r="OWO29" s="240"/>
      <c r="OWP29" s="239"/>
      <c r="OWQ29" s="240"/>
      <c r="OWR29" s="239"/>
      <c r="OWS29" s="240"/>
      <c r="OWT29" s="239"/>
      <c r="OWU29" s="240"/>
      <c r="OWV29" s="239"/>
      <c r="OWW29" s="240"/>
      <c r="OWX29" s="239"/>
      <c r="OWY29" s="240"/>
      <c r="OWZ29" s="239"/>
      <c r="OXA29" s="240"/>
      <c r="OXB29" s="239"/>
      <c r="OXC29" s="240"/>
      <c r="OXD29" s="239"/>
      <c r="OXE29" s="240"/>
      <c r="OXF29" s="239"/>
      <c r="OXG29" s="240"/>
      <c r="OXH29" s="239"/>
      <c r="OXI29" s="240"/>
      <c r="OXJ29" s="239"/>
      <c r="OXK29" s="240"/>
      <c r="OXL29" s="239"/>
      <c r="OXM29" s="240"/>
      <c r="OXN29" s="239"/>
      <c r="OXO29" s="240"/>
      <c r="OXP29" s="239"/>
      <c r="OXQ29" s="240"/>
      <c r="OXR29" s="239"/>
      <c r="OXS29" s="240"/>
      <c r="OXT29" s="239"/>
      <c r="OXU29" s="240"/>
      <c r="OXV29" s="239"/>
      <c r="OXW29" s="240"/>
      <c r="OXX29" s="239"/>
      <c r="OXY29" s="240"/>
      <c r="OXZ29" s="239"/>
      <c r="OYA29" s="240"/>
      <c r="OYB29" s="239"/>
      <c r="OYC29" s="240"/>
      <c r="OYD29" s="239"/>
      <c r="OYE29" s="240"/>
      <c r="OYF29" s="239"/>
      <c r="OYG29" s="240"/>
      <c r="OYH29" s="239"/>
      <c r="OYI29" s="240"/>
      <c r="OYJ29" s="239"/>
      <c r="OYK29" s="240"/>
      <c r="OYL29" s="239"/>
      <c r="OYM29" s="240"/>
      <c r="OYN29" s="239"/>
      <c r="OYO29" s="240"/>
      <c r="OYP29" s="239"/>
      <c r="OYQ29" s="240"/>
      <c r="OYR29" s="239"/>
      <c r="OYS29" s="240"/>
      <c r="OYT29" s="239"/>
      <c r="OYU29" s="240"/>
      <c r="OYV29" s="239"/>
      <c r="OYW29" s="240"/>
      <c r="OYX29" s="239"/>
      <c r="OYY29" s="240"/>
      <c r="OYZ29" s="239"/>
      <c r="OZA29" s="240"/>
      <c r="OZB29" s="239"/>
      <c r="OZC29" s="240"/>
      <c r="OZD29" s="239"/>
      <c r="OZE29" s="240"/>
      <c r="OZF29" s="239"/>
      <c r="OZG29" s="240"/>
      <c r="OZH29" s="239"/>
      <c r="OZI29" s="240"/>
      <c r="OZJ29" s="239"/>
      <c r="OZK29" s="240"/>
      <c r="OZL29" s="239"/>
      <c r="OZM29" s="240"/>
      <c r="OZN29" s="239"/>
      <c r="OZO29" s="240"/>
      <c r="OZP29" s="239"/>
      <c r="OZQ29" s="240"/>
      <c r="OZR29" s="239"/>
      <c r="OZS29" s="240"/>
      <c r="OZT29" s="239"/>
      <c r="OZU29" s="240"/>
      <c r="OZV29" s="239"/>
      <c r="OZW29" s="240"/>
      <c r="OZX29" s="239"/>
      <c r="OZY29" s="240"/>
      <c r="OZZ29" s="239"/>
      <c r="PAA29" s="240"/>
      <c r="PAB29" s="239"/>
      <c r="PAC29" s="240"/>
      <c r="PAD29" s="239"/>
      <c r="PAE29" s="240"/>
      <c r="PAF29" s="239"/>
      <c r="PAG29" s="240"/>
      <c r="PAH29" s="239"/>
      <c r="PAI29" s="240"/>
      <c r="PAJ29" s="239"/>
      <c r="PAK29" s="240"/>
      <c r="PAL29" s="239"/>
      <c r="PAM29" s="240"/>
      <c r="PAN29" s="239"/>
      <c r="PAO29" s="240"/>
      <c r="PAP29" s="239"/>
      <c r="PAQ29" s="240"/>
      <c r="PAR29" s="239"/>
      <c r="PAS29" s="240"/>
      <c r="PAT29" s="239"/>
      <c r="PAU29" s="240"/>
      <c r="PAV29" s="239"/>
      <c r="PAW29" s="240"/>
      <c r="PAX29" s="239"/>
      <c r="PAY29" s="240"/>
      <c r="PAZ29" s="239"/>
      <c r="PBA29" s="240"/>
      <c r="PBB29" s="239"/>
      <c r="PBC29" s="240"/>
      <c r="PBD29" s="239"/>
      <c r="PBE29" s="240"/>
      <c r="PBF29" s="239"/>
      <c r="PBG29" s="240"/>
      <c r="PBH29" s="239"/>
      <c r="PBI29" s="240"/>
      <c r="PBJ29" s="239"/>
      <c r="PBK29" s="240"/>
      <c r="PBL29" s="239"/>
      <c r="PBM29" s="240"/>
      <c r="PBN29" s="239"/>
      <c r="PBO29" s="240"/>
      <c r="PBP29" s="239"/>
      <c r="PBQ29" s="240"/>
      <c r="PBR29" s="239"/>
      <c r="PBS29" s="240"/>
      <c r="PBT29" s="239"/>
      <c r="PBU29" s="240"/>
      <c r="PBV29" s="239"/>
      <c r="PBW29" s="240"/>
      <c r="PBX29" s="239"/>
      <c r="PBY29" s="240"/>
      <c r="PBZ29" s="239"/>
      <c r="PCA29" s="240"/>
      <c r="PCB29" s="239"/>
      <c r="PCC29" s="240"/>
      <c r="PCD29" s="239"/>
      <c r="PCE29" s="240"/>
      <c r="PCF29" s="239"/>
      <c r="PCG29" s="240"/>
      <c r="PCH29" s="239"/>
      <c r="PCI29" s="240"/>
      <c r="PCJ29" s="239"/>
      <c r="PCK29" s="240"/>
      <c r="PCL29" s="239"/>
      <c r="PCM29" s="240"/>
      <c r="PCN29" s="239"/>
      <c r="PCO29" s="240"/>
      <c r="PCP29" s="239"/>
      <c r="PCQ29" s="240"/>
      <c r="PCR29" s="239"/>
      <c r="PCS29" s="240"/>
      <c r="PCT29" s="239"/>
      <c r="PCU29" s="240"/>
      <c r="PCV29" s="239"/>
      <c r="PCW29" s="240"/>
      <c r="PCX29" s="239"/>
      <c r="PCY29" s="240"/>
      <c r="PCZ29" s="239"/>
      <c r="PDA29" s="240"/>
      <c r="PDB29" s="239"/>
      <c r="PDC29" s="240"/>
      <c r="PDD29" s="239"/>
      <c r="PDE29" s="240"/>
      <c r="PDF29" s="239"/>
      <c r="PDG29" s="240"/>
      <c r="PDH29" s="239"/>
      <c r="PDI29" s="240"/>
      <c r="PDJ29" s="239"/>
      <c r="PDK29" s="240"/>
      <c r="PDL29" s="239"/>
      <c r="PDM29" s="240"/>
      <c r="PDN29" s="239"/>
      <c r="PDO29" s="240"/>
      <c r="PDP29" s="239"/>
      <c r="PDQ29" s="240"/>
      <c r="PDR29" s="239"/>
      <c r="PDS29" s="240"/>
      <c r="PDT29" s="239"/>
      <c r="PDU29" s="240"/>
      <c r="PDV29" s="239"/>
      <c r="PDW29" s="240"/>
      <c r="PDX29" s="239"/>
      <c r="PDY29" s="240"/>
      <c r="PDZ29" s="239"/>
      <c r="PEA29" s="240"/>
      <c r="PEB29" s="239"/>
      <c r="PEC29" s="240"/>
      <c r="PED29" s="239"/>
      <c r="PEE29" s="240"/>
      <c r="PEF29" s="239"/>
      <c r="PEG29" s="240"/>
      <c r="PEH29" s="239"/>
      <c r="PEI29" s="240"/>
      <c r="PEJ29" s="239"/>
      <c r="PEK29" s="240"/>
      <c r="PEL29" s="239"/>
      <c r="PEM29" s="240"/>
      <c r="PEN29" s="239"/>
      <c r="PEO29" s="240"/>
      <c r="PEP29" s="239"/>
      <c r="PEQ29" s="240"/>
      <c r="PER29" s="239"/>
      <c r="PES29" s="240"/>
      <c r="PET29" s="239"/>
      <c r="PEU29" s="240"/>
      <c r="PEV29" s="239"/>
      <c r="PEW29" s="240"/>
      <c r="PEX29" s="239"/>
      <c r="PEY29" s="240"/>
      <c r="PEZ29" s="239"/>
      <c r="PFA29" s="240"/>
      <c r="PFB29" s="239"/>
      <c r="PFC29" s="240"/>
      <c r="PFD29" s="239"/>
      <c r="PFE29" s="240"/>
      <c r="PFF29" s="239"/>
      <c r="PFG29" s="240"/>
      <c r="PFH29" s="239"/>
      <c r="PFI29" s="240"/>
      <c r="PFJ29" s="239"/>
      <c r="PFK29" s="240"/>
      <c r="PFL29" s="239"/>
      <c r="PFM29" s="240"/>
      <c r="PFN29" s="239"/>
      <c r="PFO29" s="240"/>
      <c r="PFP29" s="239"/>
      <c r="PFQ29" s="240"/>
      <c r="PFR29" s="239"/>
      <c r="PFS29" s="240"/>
      <c r="PFT29" s="239"/>
      <c r="PFU29" s="240"/>
      <c r="PFV29" s="239"/>
      <c r="PFW29" s="240"/>
      <c r="PFX29" s="239"/>
      <c r="PFY29" s="240"/>
      <c r="PFZ29" s="239"/>
      <c r="PGA29" s="240"/>
      <c r="PGB29" s="239"/>
      <c r="PGC29" s="240"/>
      <c r="PGD29" s="239"/>
      <c r="PGE29" s="240"/>
      <c r="PGF29" s="239"/>
      <c r="PGG29" s="240"/>
      <c r="PGH29" s="239"/>
      <c r="PGI29" s="240"/>
      <c r="PGJ29" s="239"/>
      <c r="PGK29" s="240"/>
      <c r="PGL29" s="239"/>
      <c r="PGM29" s="240"/>
      <c r="PGN29" s="239"/>
      <c r="PGO29" s="240"/>
      <c r="PGP29" s="239"/>
      <c r="PGQ29" s="240"/>
      <c r="PGR29" s="239"/>
      <c r="PGS29" s="240"/>
      <c r="PGT29" s="239"/>
      <c r="PGU29" s="240"/>
      <c r="PGV29" s="239"/>
      <c r="PGW29" s="240"/>
      <c r="PGX29" s="239"/>
      <c r="PGY29" s="240"/>
      <c r="PGZ29" s="239"/>
      <c r="PHA29" s="240"/>
      <c r="PHB29" s="239"/>
      <c r="PHC29" s="240"/>
      <c r="PHD29" s="239"/>
      <c r="PHE29" s="240"/>
      <c r="PHF29" s="239"/>
      <c r="PHG29" s="240"/>
      <c r="PHH29" s="239"/>
      <c r="PHI29" s="240"/>
      <c r="PHJ29" s="239"/>
      <c r="PHK29" s="240"/>
      <c r="PHL29" s="239"/>
      <c r="PHM29" s="240"/>
      <c r="PHN29" s="239"/>
      <c r="PHO29" s="240"/>
      <c r="PHP29" s="239"/>
      <c r="PHQ29" s="240"/>
      <c r="PHR29" s="239"/>
      <c r="PHS29" s="240"/>
      <c r="PHT29" s="239"/>
      <c r="PHU29" s="240"/>
      <c r="PHV29" s="239"/>
      <c r="PHW29" s="240"/>
      <c r="PHX29" s="239"/>
      <c r="PHY29" s="240"/>
      <c r="PHZ29" s="239"/>
      <c r="PIA29" s="240"/>
      <c r="PIB29" s="239"/>
      <c r="PIC29" s="240"/>
      <c r="PID29" s="239"/>
      <c r="PIE29" s="240"/>
      <c r="PIF29" s="239"/>
      <c r="PIG29" s="240"/>
      <c r="PIH29" s="239"/>
      <c r="PII29" s="240"/>
      <c r="PIJ29" s="239"/>
      <c r="PIK29" s="240"/>
      <c r="PIL29" s="239"/>
      <c r="PIM29" s="240"/>
      <c r="PIN29" s="239"/>
      <c r="PIO29" s="240"/>
      <c r="PIP29" s="239"/>
      <c r="PIQ29" s="240"/>
      <c r="PIR29" s="239"/>
      <c r="PIS29" s="240"/>
      <c r="PIT29" s="239"/>
      <c r="PIU29" s="240"/>
      <c r="PIV29" s="239"/>
      <c r="PIW29" s="240"/>
      <c r="PIX29" s="239"/>
      <c r="PIY29" s="240"/>
      <c r="PIZ29" s="239"/>
      <c r="PJA29" s="240"/>
      <c r="PJB29" s="239"/>
      <c r="PJC29" s="240"/>
      <c r="PJD29" s="239"/>
      <c r="PJE29" s="240"/>
      <c r="PJF29" s="239"/>
      <c r="PJG29" s="240"/>
      <c r="PJH29" s="239"/>
      <c r="PJI29" s="240"/>
      <c r="PJJ29" s="239"/>
      <c r="PJK29" s="240"/>
      <c r="PJL29" s="239"/>
      <c r="PJM29" s="240"/>
      <c r="PJN29" s="239"/>
      <c r="PJO29" s="240"/>
      <c r="PJP29" s="239"/>
      <c r="PJQ29" s="240"/>
      <c r="PJR29" s="239"/>
      <c r="PJS29" s="240"/>
      <c r="PJT29" s="239"/>
      <c r="PJU29" s="240"/>
      <c r="PJV29" s="239"/>
      <c r="PJW29" s="240"/>
      <c r="PJX29" s="239"/>
      <c r="PJY29" s="240"/>
      <c r="PJZ29" s="239"/>
      <c r="PKA29" s="240"/>
      <c r="PKB29" s="239"/>
      <c r="PKC29" s="240"/>
      <c r="PKD29" s="239"/>
      <c r="PKE29" s="240"/>
      <c r="PKF29" s="239"/>
      <c r="PKG29" s="240"/>
      <c r="PKH29" s="239"/>
      <c r="PKI29" s="240"/>
      <c r="PKJ29" s="239"/>
      <c r="PKK29" s="240"/>
      <c r="PKL29" s="239"/>
      <c r="PKM29" s="240"/>
      <c r="PKN29" s="239"/>
      <c r="PKO29" s="240"/>
      <c r="PKP29" s="239"/>
      <c r="PKQ29" s="240"/>
      <c r="PKR29" s="239"/>
      <c r="PKS29" s="240"/>
      <c r="PKT29" s="239"/>
      <c r="PKU29" s="240"/>
      <c r="PKV29" s="239"/>
      <c r="PKW29" s="240"/>
      <c r="PKX29" s="239"/>
      <c r="PKY29" s="240"/>
      <c r="PKZ29" s="239"/>
      <c r="PLA29" s="240"/>
      <c r="PLB29" s="239"/>
      <c r="PLC29" s="240"/>
      <c r="PLD29" s="239"/>
      <c r="PLE29" s="240"/>
      <c r="PLF29" s="239"/>
      <c r="PLG29" s="240"/>
      <c r="PLH29" s="239"/>
      <c r="PLI29" s="240"/>
      <c r="PLJ29" s="239"/>
      <c r="PLK29" s="240"/>
      <c r="PLL29" s="239"/>
      <c r="PLM29" s="240"/>
      <c r="PLN29" s="239"/>
      <c r="PLO29" s="240"/>
      <c r="PLP29" s="239"/>
      <c r="PLQ29" s="240"/>
      <c r="PLR29" s="239"/>
      <c r="PLS29" s="240"/>
      <c r="PLT29" s="239"/>
      <c r="PLU29" s="240"/>
      <c r="PLV29" s="239"/>
      <c r="PLW29" s="240"/>
      <c r="PLX29" s="239"/>
      <c r="PLY29" s="240"/>
      <c r="PLZ29" s="239"/>
      <c r="PMA29" s="240"/>
      <c r="PMB29" s="239"/>
      <c r="PMC29" s="240"/>
      <c r="PMD29" s="239"/>
      <c r="PME29" s="240"/>
      <c r="PMF29" s="239"/>
      <c r="PMG29" s="240"/>
      <c r="PMH29" s="239"/>
      <c r="PMI29" s="240"/>
      <c r="PMJ29" s="239"/>
      <c r="PMK29" s="240"/>
      <c r="PML29" s="239"/>
      <c r="PMM29" s="240"/>
      <c r="PMN29" s="239"/>
      <c r="PMO29" s="240"/>
      <c r="PMP29" s="239"/>
      <c r="PMQ29" s="240"/>
      <c r="PMR29" s="239"/>
      <c r="PMS29" s="240"/>
      <c r="PMT29" s="239"/>
      <c r="PMU29" s="240"/>
      <c r="PMV29" s="239"/>
      <c r="PMW29" s="240"/>
      <c r="PMX29" s="239"/>
      <c r="PMY29" s="240"/>
      <c r="PMZ29" s="239"/>
      <c r="PNA29" s="240"/>
      <c r="PNB29" s="239"/>
      <c r="PNC29" s="240"/>
      <c r="PND29" s="239"/>
      <c r="PNE29" s="240"/>
      <c r="PNF29" s="239"/>
      <c r="PNG29" s="240"/>
      <c r="PNH29" s="239"/>
      <c r="PNI29" s="240"/>
      <c r="PNJ29" s="239"/>
      <c r="PNK29" s="240"/>
      <c r="PNL29" s="239"/>
      <c r="PNM29" s="240"/>
      <c r="PNN29" s="239"/>
      <c r="PNO29" s="240"/>
      <c r="PNP29" s="239"/>
      <c r="PNQ29" s="240"/>
      <c r="PNR29" s="239"/>
      <c r="PNS29" s="240"/>
      <c r="PNT29" s="239"/>
      <c r="PNU29" s="240"/>
      <c r="PNV29" s="239"/>
      <c r="PNW29" s="240"/>
      <c r="PNX29" s="239"/>
      <c r="PNY29" s="240"/>
      <c r="PNZ29" s="239"/>
      <c r="POA29" s="240"/>
      <c r="POB29" s="239"/>
      <c r="POC29" s="240"/>
      <c r="POD29" s="239"/>
      <c r="POE29" s="240"/>
      <c r="POF29" s="239"/>
      <c r="POG29" s="240"/>
      <c r="POH29" s="239"/>
      <c r="POI29" s="240"/>
      <c r="POJ29" s="239"/>
      <c r="POK29" s="240"/>
      <c r="POL29" s="239"/>
      <c r="POM29" s="240"/>
      <c r="PON29" s="239"/>
      <c r="POO29" s="240"/>
      <c r="POP29" s="239"/>
      <c r="POQ29" s="240"/>
      <c r="POR29" s="239"/>
      <c r="POS29" s="240"/>
      <c r="POT29" s="239"/>
      <c r="POU29" s="240"/>
      <c r="POV29" s="239"/>
      <c r="POW29" s="240"/>
      <c r="POX29" s="239"/>
      <c r="POY29" s="240"/>
      <c r="POZ29" s="239"/>
      <c r="PPA29" s="240"/>
      <c r="PPB29" s="239"/>
      <c r="PPC29" s="240"/>
      <c r="PPD29" s="239"/>
      <c r="PPE29" s="240"/>
      <c r="PPF29" s="239"/>
      <c r="PPG29" s="240"/>
      <c r="PPH29" s="239"/>
      <c r="PPI29" s="240"/>
      <c r="PPJ29" s="239"/>
      <c r="PPK29" s="240"/>
      <c r="PPL29" s="239"/>
      <c r="PPM29" s="240"/>
      <c r="PPN29" s="239"/>
      <c r="PPO29" s="240"/>
      <c r="PPP29" s="239"/>
      <c r="PPQ29" s="240"/>
      <c r="PPR29" s="239"/>
      <c r="PPS29" s="240"/>
      <c r="PPT29" s="239"/>
      <c r="PPU29" s="240"/>
      <c r="PPV29" s="239"/>
      <c r="PPW29" s="240"/>
      <c r="PPX29" s="239"/>
      <c r="PPY29" s="240"/>
      <c r="PPZ29" s="239"/>
      <c r="PQA29" s="240"/>
      <c r="PQB29" s="239"/>
      <c r="PQC29" s="240"/>
      <c r="PQD29" s="239"/>
      <c r="PQE29" s="240"/>
      <c r="PQF29" s="239"/>
      <c r="PQG29" s="240"/>
      <c r="PQH29" s="239"/>
      <c r="PQI29" s="240"/>
      <c r="PQJ29" s="239"/>
      <c r="PQK29" s="240"/>
      <c r="PQL29" s="239"/>
      <c r="PQM29" s="240"/>
      <c r="PQN29" s="239"/>
      <c r="PQO29" s="240"/>
      <c r="PQP29" s="239"/>
      <c r="PQQ29" s="240"/>
      <c r="PQR29" s="239"/>
      <c r="PQS29" s="240"/>
      <c r="PQT29" s="239"/>
      <c r="PQU29" s="240"/>
      <c r="PQV29" s="239"/>
      <c r="PQW29" s="240"/>
      <c r="PQX29" s="239"/>
      <c r="PQY29" s="240"/>
      <c r="PQZ29" s="239"/>
      <c r="PRA29" s="240"/>
      <c r="PRB29" s="239"/>
      <c r="PRC29" s="240"/>
      <c r="PRD29" s="239"/>
      <c r="PRE29" s="240"/>
      <c r="PRF29" s="239"/>
      <c r="PRG29" s="240"/>
      <c r="PRH29" s="239"/>
      <c r="PRI29" s="240"/>
      <c r="PRJ29" s="239"/>
      <c r="PRK29" s="240"/>
      <c r="PRL29" s="239"/>
      <c r="PRM29" s="240"/>
      <c r="PRN29" s="239"/>
      <c r="PRO29" s="240"/>
      <c r="PRP29" s="239"/>
      <c r="PRQ29" s="240"/>
      <c r="PRR29" s="239"/>
      <c r="PRS29" s="240"/>
      <c r="PRT29" s="239"/>
      <c r="PRU29" s="240"/>
      <c r="PRV29" s="239"/>
      <c r="PRW29" s="240"/>
      <c r="PRX29" s="239"/>
      <c r="PRY29" s="240"/>
      <c r="PRZ29" s="239"/>
      <c r="PSA29" s="240"/>
      <c r="PSB29" s="239"/>
      <c r="PSC29" s="240"/>
      <c r="PSD29" s="239"/>
      <c r="PSE29" s="240"/>
      <c r="PSF29" s="239"/>
      <c r="PSG29" s="240"/>
      <c r="PSH29" s="239"/>
      <c r="PSI29" s="240"/>
      <c r="PSJ29" s="239"/>
      <c r="PSK29" s="240"/>
      <c r="PSL29" s="239"/>
      <c r="PSM29" s="240"/>
      <c r="PSN29" s="239"/>
      <c r="PSO29" s="240"/>
      <c r="PSP29" s="239"/>
      <c r="PSQ29" s="240"/>
      <c r="PSR29" s="239"/>
      <c r="PSS29" s="240"/>
      <c r="PST29" s="239"/>
      <c r="PSU29" s="240"/>
      <c r="PSV29" s="239"/>
      <c r="PSW29" s="240"/>
      <c r="PSX29" s="239"/>
      <c r="PSY29" s="240"/>
      <c r="PSZ29" s="239"/>
      <c r="PTA29" s="240"/>
      <c r="PTB29" s="239"/>
      <c r="PTC29" s="240"/>
      <c r="PTD29" s="239"/>
      <c r="PTE29" s="240"/>
      <c r="PTF29" s="239"/>
      <c r="PTG29" s="240"/>
      <c r="PTH29" s="239"/>
      <c r="PTI29" s="240"/>
      <c r="PTJ29" s="239"/>
      <c r="PTK29" s="240"/>
      <c r="PTL29" s="239"/>
      <c r="PTM29" s="240"/>
      <c r="PTN29" s="239"/>
      <c r="PTO29" s="240"/>
      <c r="PTP29" s="239"/>
      <c r="PTQ29" s="240"/>
      <c r="PTR29" s="239"/>
      <c r="PTS29" s="240"/>
      <c r="PTT29" s="239"/>
      <c r="PTU29" s="240"/>
      <c r="PTV29" s="239"/>
      <c r="PTW29" s="240"/>
      <c r="PTX29" s="239"/>
      <c r="PTY29" s="240"/>
      <c r="PTZ29" s="239"/>
      <c r="PUA29" s="240"/>
      <c r="PUB29" s="239"/>
      <c r="PUC29" s="240"/>
      <c r="PUD29" s="239"/>
      <c r="PUE29" s="240"/>
      <c r="PUF29" s="239"/>
      <c r="PUG29" s="240"/>
      <c r="PUH29" s="239"/>
      <c r="PUI29" s="240"/>
      <c r="PUJ29" s="239"/>
      <c r="PUK29" s="240"/>
      <c r="PUL29" s="239"/>
      <c r="PUM29" s="240"/>
      <c r="PUN29" s="239"/>
      <c r="PUO29" s="240"/>
      <c r="PUP29" s="239"/>
      <c r="PUQ29" s="240"/>
      <c r="PUR29" s="239"/>
      <c r="PUS29" s="240"/>
      <c r="PUT29" s="239"/>
      <c r="PUU29" s="240"/>
      <c r="PUV29" s="239"/>
      <c r="PUW29" s="240"/>
      <c r="PUX29" s="239"/>
      <c r="PUY29" s="240"/>
      <c r="PUZ29" s="239"/>
      <c r="PVA29" s="240"/>
      <c r="PVB29" s="239"/>
      <c r="PVC29" s="240"/>
      <c r="PVD29" s="239"/>
      <c r="PVE29" s="240"/>
      <c r="PVF29" s="239"/>
      <c r="PVG29" s="240"/>
      <c r="PVH29" s="239"/>
      <c r="PVI29" s="240"/>
      <c r="PVJ29" s="239"/>
      <c r="PVK29" s="240"/>
      <c r="PVL29" s="239"/>
      <c r="PVM29" s="240"/>
      <c r="PVN29" s="239"/>
      <c r="PVO29" s="240"/>
      <c r="PVP29" s="239"/>
      <c r="PVQ29" s="240"/>
      <c r="PVR29" s="239"/>
      <c r="PVS29" s="240"/>
      <c r="PVT29" s="239"/>
      <c r="PVU29" s="240"/>
      <c r="PVV29" s="239"/>
      <c r="PVW29" s="240"/>
      <c r="PVX29" s="239"/>
      <c r="PVY29" s="240"/>
      <c r="PVZ29" s="239"/>
      <c r="PWA29" s="240"/>
      <c r="PWB29" s="239"/>
      <c r="PWC29" s="240"/>
      <c r="PWD29" s="239"/>
      <c r="PWE29" s="240"/>
      <c r="PWF29" s="239"/>
      <c r="PWG29" s="240"/>
      <c r="PWH29" s="239"/>
      <c r="PWI29" s="240"/>
      <c r="PWJ29" s="239"/>
      <c r="PWK29" s="240"/>
      <c r="PWL29" s="239"/>
      <c r="PWM29" s="240"/>
      <c r="PWN29" s="239"/>
      <c r="PWO29" s="240"/>
      <c r="PWP29" s="239"/>
      <c r="PWQ29" s="240"/>
      <c r="PWR29" s="239"/>
      <c r="PWS29" s="240"/>
      <c r="PWT29" s="239"/>
      <c r="PWU29" s="240"/>
      <c r="PWV29" s="239"/>
      <c r="PWW29" s="240"/>
      <c r="PWX29" s="239"/>
      <c r="PWY29" s="240"/>
      <c r="PWZ29" s="239"/>
      <c r="PXA29" s="240"/>
      <c r="PXB29" s="239"/>
      <c r="PXC29" s="240"/>
      <c r="PXD29" s="239"/>
      <c r="PXE29" s="240"/>
      <c r="PXF29" s="239"/>
      <c r="PXG29" s="240"/>
      <c r="PXH29" s="239"/>
      <c r="PXI29" s="240"/>
      <c r="PXJ29" s="239"/>
      <c r="PXK29" s="240"/>
      <c r="PXL29" s="239"/>
      <c r="PXM29" s="240"/>
      <c r="PXN29" s="239"/>
      <c r="PXO29" s="240"/>
      <c r="PXP29" s="239"/>
      <c r="PXQ29" s="240"/>
      <c r="PXR29" s="239"/>
      <c r="PXS29" s="240"/>
      <c r="PXT29" s="239"/>
      <c r="PXU29" s="240"/>
      <c r="PXV29" s="239"/>
      <c r="PXW29" s="240"/>
      <c r="PXX29" s="239"/>
      <c r="PXY29" s="240"/>
      <c r="PXZ29" s="239"/>
      <c r="PYA29" s="240"/>
      <c r="PYB29" s="239"/>
      <c r="PYC29" s="240"/>
      <c r="PYD29" s="239"/>
      <c r="PYE29" s="240"/>
      <c r="PYF29" s="239"/>
      <c r="PYG29" s="240"/>
      <c r="PYH29" s="239"/>
      <c r="PYI29" s="240"/>
      <c r="PYJ29" s="239"/>
      <c r="PYK29" s="240"/>
      <c r="PYL29" s="239"/>
      <c r="PYM29" s="240"/>
      <c r="PYN29" s="239"/>
      <c r="PYO29" s="240"/>
      <c r="PYP29" s="239"/>
      <c r="PYQ29" s="240"/>
      <c r="PYR29" s="239"/>
      <c r="PYS29" s="240"/>
      <c r="PYT29" s="239"/>
      <c r="PYU29" s="240"/>
      <c r="PYV29" s="239"/>
      <c r="PYW29" s="240"/>
      <c r="PYX29" s="239"/>
      <c r="PYY29" s="240"/>
      <c r="PYZ29" s="239"/>
      <c r="PZA29" s="240"/>
      <c r="PZB29" s="239"/>
      <c r="PZC29" s="240"/>
      <c r="PZD29" s="239"/>
      <c r="PZE29" s="240"/>
      <c r="PZF29" s="239"/>
      <c r="PZG29" s="240"/>
      <c r="PZH29" s="239"/>
      <c r="PZI29" s="240"/>
      <c r="PZJ29" s="239"/>
      <c r="PZK29" s="240"/>
      <c r="PZL29" s="239"/>
      <c r="PZM29" s="240"/>
      <c r="PZN29" s="239"/>
      <c r="PZO29" s="240"/>
      <c r="PZP29" s="239"/>
      <c r="PZQ29" s="240"/>
      <c r="PZR29" s="239"/>
      <c r="PZS29" s="240"/>
      <c r="PZT29" s="239"/>
      <c r="PZU29" s="240"/>
      <c r="PZV29" s="239"/>
      <c r="PZW29" s="240"/>
      <c r="PZX29" s="239"/>
      <c r="PZY29" s="240"/>
      <c r="PZZ29" s="239"/>
      <c r="QAA29" s="240"/>
      <c r="QAB29" s="239"/>
      <c r="QAC29" s="240"/>
      <c r="QAD29" s="239"/>
      <c r="QAE29" s="240"/>
      <c r="QAF29" s="239"/>
      <c r="QAG29" s="240"/>
      <c r="QAH29" s="239"/>
      <c r="QAI29" s="240"/>
      <c r="QAJ29" s="239"/>
      <c r="QAK29" s="240"/>
      <c r="QAL29" s="239"/>
      <c r="QAM29" s="240"/>
      <c r="QAN29" s="239"/>
      <c r="QAO29" s="240"/>
      <c r="QAP29" s="239"/>
      <c r="QAQ29" s="240"/>
      <c r="QAR29" s="239"/>
      <c r="QAS29" s="240"/>
      <c r="QAT29" s="239"/>
      <c r="QAU29" s="240"/>
      <c r="QAV29" s="239"/>
      <c r="QAW29" s="240"/>
      <c r="QAX29" s="239"/>
      <c r="QAY29" s="240"/>
      <c r="QAZ29" s="239"/>
      <c r="QBA29" s="240"/>
      <c r="QBB29" s="239"/>
      <c r="QBC29" s="240"/>
      <c r="QBD29" s="239"/>
      <c r="QBE29" s="240"/>
      <c r="QBF29" s="239"/>
      <c r="QBG29" s="240"/>
      <c r="QBH29" s="239"/>
      <c r="QBI29" s="240"/>
      <c r="QBJ29" s="239"/>
      <c r="QBK29" s="240"/>
      <c r="QBL29" s="239"/>
      <c r="QBM29" s="240"/>
      <c r="QBN29" s="239"/>
      <c r="QBO29" s="240"/>
      <c r="QBP29" s="239"/>
      <c r="QBQ29" s="240"/>
      <c r="QBR29" s="239"/>
      <c r="QBS29" s="240"/>
      <c r="QBT29" s="239"/>
      <c r="QBU29" s="240"/>
      <c r="QBV29" s="239"/>
      <c r="QBW29" s="240"/>
      <c r="QBX29" s="239"/>
      <c r="QBY29" s="240"/>
      <c r="QBZ29" s="239"/>
      <c r="QCA29" s="240"/>
      <c r="QCB29" s="239"/>
      <c r="QCC29" s="240"/>
      <c r="QCD29" s="239"/>
      <c r="QCE29" s="240"/>
      <c r="QCF29" s="239"/>
      <c r="QCG29" s="240"/>
      <c r="QCH29" s="239"/>
      <c r="QCI29" s="240"/>
      <c r="QCJ29" s="239"/>
      <c r="QCK29" s="240"/>
      <c r="QCL29" s="239"/>
      <c r="QCM29" s="240"/>
      <c r="QCN29" s="239"/>
      <c r="QCO29" s="240"/>
      <c r="QCP29" s="239"/>
      <c r="QCQ29" s="240"/>
      <c r="QCR29" s="239"/>
      <c r="QCS29" s="240"/>
      <c r="QCT29" s="239"/>
      <c r="QCU29" s="240"/>
      <c r="QCV29" s="239"/>
      <c r="QCW29" s="240"/>
      <c r="QCX29" s="239"/>
      <c r="QCY29" s="240"/>
      <c r="QCZ29" s="239"/>
      <c r="QDA29" s="240"/>
      <c r="QDB29" s="239"/>
      <c r="QDC29" s="240"/>
      <c r="QDD29" s="239"/>
      <c r="QDE29" s="240"/>
      <c r="QDF29" s="239"/>
      <c r="QDG29" s="240"/>
      <c r="QDH29" s="239"/>
      <c r="QDI29" s="240"/>
      <c r="QDJ29" s="239"/>
      <c r="QDK29" s="240"/>
      <c r="QDL29" s="239"/>
      <c r="QDM29" s="240"/>
      <c r="QDN29" s="239"/>
      <c r="QDO29" s="240"/>
      <c r="QDP29" s="239"/>
      <c r="QDQ29" s="240"/>
      <c r="QDR29" s="239"/>
      <c r="QDS29" s="240"/>
      <c r="QDT29" s="239"/>
      <c r="QDU29" s="240"/>
      <c r="QDV29" s="239"/>
      <c r="QDW29" s="240"/>
      <c r="QDX29" s="239"/>
      <c r="QDY29" s="240"/>
      <c r="QDZ29" s="239"/>
      <c r="QEA29" s="240"/>
      <c r="QEB29" s="239"/>
      <c r="QEC29" s="240"/>
      <c r="QED29" s="239"/>
      <c r="QEE29" s="240"/>
      <c r="QEF29" s="239"/>
      <c r="QEG29" s="240"/>
      <c r="QEH29" s="239"/>
      <c r="QEI29" s="240"/>
      <c r="QEJ29" s="239"/>
      <c r="QEK29" s="240"/>
      <c r="QEL29" s="239"/>
      <c r="QEM29" s="240"/>
      <c r="QEN29" s="239"/>
      <c r="QEO29" s="240"/>
      <c r="QEP29" s="239"/>
      <c r="QEQ29" s="240"/>
      <c r="QER29" s="239"/>
      <c r="QES29" s="240"/>
      <c r="QET29" s="239"/>
      <c r="QEU29" s="240"/>
      <c r="QEV29" s="239"/>
      <c r="QEW29" s="240"/>
      <c r="QEX29" s="239"/>
      <c r="QEY29" s="240"/>
      <c r="QEZ29" s="239"/>
      <c r="QFA29" s="240"/>
      <c r="QFB29" s="239"/>
      <c r="QFC29" s="240"/>
      <c r="QFD29" s="239"/>
      <c r="QFE29" s="240"/>
      <c r="QFF29" s="239"/>
      <c r="QFG29" s="240"/>
      <c r="QFH29" s="239"/>
      <c r="QFI29" s="240"/>
      <c r="QFJ29" s="239"/>
      <c r="QFK29" s="240"/>
      <c r="QFL29" s="239"/>
      <c r="QFM29" s="240"/>
      <c r="QFN29" s="239"/>
      <c r="QFO29" s="240"/>
      <c r="QFP29" s="239"/>
      <c r="QFQ29" s="240"/>
      <c r="QFR29" s="239"/>
      <c r="QFS29" s="240"/>
      <c r="QFT29" s="239"/>
      <c r="QFU29" s="240"/>
      <c r="QFV29" s="239"/>
      <c r="QFW29" s="240"/>
      <c r="QFX29" s="239"/>
      <c r="QFY29" s="240"/>
      <c r="QFZ29" s="239"/>
      <c r="QGA29" s="240"/>
      <c r="QGB29" s="239"/>
      <c r="QGC29" s="240"/>
      <c r="QGD29" s="239"/>
      <c r="QGE29" s="240"/>
      <c r="QGF29" s="239"/>
      <c r="QGG29" s="240"/>
      <c r="QGH29" s="239"/>
      <c r="QGI29" s="240"/>
      <c r="QGJ29" s="239"/>
      <c r="QGK29" s="240"/>
      <c r="QGL29" s="239"/>
      <c r="QGM29" s="240"/>
      <c r="QGN29" s="239"/>
      <c r="QGO29" s="240"/>
      <c r="QGP29" s="239"/>
      <c r="QGQ29" s="240"/>
      <c r="QGR29" s="239"/>
      <c r="QGS29" s="240"/>
      <c r="QGT29" s="239"/>
      <c r="QGU29" s="240"/>
      <c r="QGV29" s="239"/>
      <c r="QGW29" s="240"/>
      <c r="QGX29" s="239"/>
      <c r="QGY29" s="240"/>
      <c r="QGZ29" s="239"/>
      <c r="QHA29" s="240"/>
      <c r="QHB29" s="239"/>
      <c r="QHC29" s="240"/>
      <c r="QHD29" s="239"/>
      <c r="QHE29" s="240"/>
      <c r="QHF29" s="239"/>
      <c r="QHG29" s="240"/>
      <c r="QHH29" s="239"/>
      <c r="QHI29" s="240"/>
      <c r="QHJ29" s="239"/>
      <c r="QHK29" s="240"/>
      <c r="QHL29" s="239"/>
      <c r="QHM29" s="240"/>
      <c r="QHN29" s="239"/>
      <c r="QHO29" s="240"/>
      <c r="QHP29" s="239"/>
      <c r="QHQ29" s="240"/>
      <c r="QHR29" s="239"/>
      <c r="QHS29" s="240"/>
      <c r="QHT29" s="239"/>
      <c r="QHU29" s="240"/>
      <c r="QHV29" s="239"/>
      <c r="QHW29" s="240"/>
      <c r="QHX29" s="239"/>
      <c r="QHY29" s="240"/>
      <c r="QHZ29" s="239"/>
      <c r="QIA29" s="240"/>
      <c r="QIB29" s="239"/>
      <c r="QIC29" s="240"/>
      <c r="QID29" s="239"/>
      <c r="QIE29" s="240"/>
      <c r="QIF29" s="239"/>
      <c r="QIG29" s="240"/>
      <c r="QIH29" s="239"/>
      <c r="QII29" s="240"/>
      <c r="QIJ29" s="239"/>
      <c r="QIK29" s="240"/>
      <c r="QIL29" s="239"/>
      <c r="QIM29" s="240"/>
      <c r="QIN29" s="239"/>
      <c r="QIO29" s="240"/>
      <c r="QIP29" s="239"/>
      <c r="QIQ29" s="240"/>
      <c r="QIR29" s="239"/>
      <c r="QIS29" s="240"/>
      <c r="QIT29" s="239"/>
      <c r="QIU29" s="240"/>
      <c r="QIV29" s="239"/>
      <c r="QIW29" s="240"/>
      <c r="QIX29" s="239"/>
      <c r="QIY29" s="240"/>
      <c r="QIZ29" s="239"/>
      <c r="QJA29" s="240"/>
      <c r="QJB29" s="239"/>
      <c r="QJC29" s="240"/>
      <c r="QJD29" s="239"/>
      <c r="QJE29" s="240"/>
      <c r="QJF29" s="239"/>
      <c r="QJG29" s="240"/>
      <c r="QJH29" s="239"/>
      <c r="QJI29" s="240"/>
      <c r="QJJ29" s="239"/>
      <c r="QJK29" s="240"/>
      <c r="QJL29" s="239"/>
      <c r="QJM29" s="240"/>
      <c r="QJN29" s="239"/>
      <c r="QJO29" s="240"/>
      <c r="QJP29" s="239"/>
      <c r="QJQ29" s="240"/>
      <c r="QJR29" s="239"/>
      <c r="QJS29" s="240"/>
      <c r="QJT29" s="239"/>
      <c r="QJU29" s="240"/>
      <c r="QJV29" s="239"/>
      <c r="QJW29" s="240"/>
      <c r="QJX29" s="239"/>
      <c r="QJY29" s="240"/>
      <c r="QJZ29" s="239"/>
      <c r="QKA29" s="240"/>
      <c r="QKB29" s="239"/>
      <c r="QKC29" s="240"/>
      <c r="QKD29" s="239"/>
      <c r="QKE29" s="240"/>
      <c r="QKF29" s="239"/>
      <c r="QKG29" s="240"/>
      <c r="QKH29" s="239"/>
      <c r="QKI29" s="240"/>
      <c r="QKJ29" s="239"/>
      <c r="QKK29" s="240"/>
      <c r="QKL29" s="239"/>
      <c r="QKM29" s="240"/>
      <c r="QKN29" s="239"/>
      <c r="QKO29" s="240"/>
      <c r="QKP29" s="239"/>
      <c r="QKQ29" s="240"/>
      <c r="QKR29" s="239"/>
      <c r="QKS29" s="240"/>
      <c r="QKT29" s="239"/>
      <c r="QKU29" s="240"/>
      <c r="QKV29" s="239"/>
      <c r="QKW29" s="240"/>
      <c r="QKX29" s="239"/>
      <c r="QKY29" s="240"/>
      <c r="QKZ29" s="239"/>
      <c r="QLA29" s="240"/>
      <c r="QLB29" s="239"/>
      <c r="QLC29" s="240"/>
      <c r="QLD29" s="239"/>
      <c r="QLE29" s="240"/>
      <c r="QLF29" s="239"/>
      <c r="QLG29" s="240"/>
      <c r="QLH29" s="239"/>
      <c r="QLI29" s="240"/>
      <c r="QLJ29" s="239"/>
      <c r="QLK29" s="240"/>
      <c r="QLL29" s="239"/>
      <c r="QLM29" s="240"/>
      <c r="QLN29" s="239"/>
      <c r="QLO29" s="240"/>
      <c r="QLP29" s="239"/>
      <c r="QLQ29" s="240"/>
      <c r="QLR29" s="239"/>
      <c r="QLS29" s="240"/>
      <c r="QLT29" s="239"/>
      <c r="QLU29" s="240"/>
      <c r="QLV29" s="239"/>
      <c r="QLW29" s="240"/>
      <c r="QLX29" s="239"/>
      <c r="QLY29" s="240"/>
      <c r="QLZ29" s="239"/>
      <c r="QMA29" s="240"/>
      <c r="QMB29" s="239"/>
      <c r="QMC29" s="240"/>
      <c r="QMD29" s="239"/>
      <c r="QME29" s="240"/>
      <c r="QMF29" s="239"/>
      <c r="QMG29" s="240"/>
      <c r="QMH29" s="239"/>
      <c r="QMI29" s="240"/>
      <c r="QMJ29" s="239"/>
      <c r="QMK29" s="240"/>
      <c r="QML29" s="239"/>
      <c r="QMM29" s="240"/>
      <c r="QMN29" s="239"/>
      <c r="QMO29" s="240"/>
      <c r="QMP29" s="239"/>
      <c r="QMQ29" s="240"/>
      <c r="QMR29" s="239"/>
      <c r="QMS29" s="240"/>
      <c r="QMT29" s="239"/>
      <c r="QMU29" s="240"/>
      <c r="QMV29" s="239"/>
      <c r="QMW29" s="240"/>
      <c r="QMX29" s="239"/>
      <c r="QMY29" s="240"/>
      <c r="QMZ29" s="239"/>
      <c r="QNA29" s="240"/>
      <c r="QNB29" s="239"/>
      <c r="QNC29" s="240"/>
      <c r="QND29" s="239"/>
      <c r="QNE29" s="240"/>
      <c r="QNF29" s="239"/>
      <c r="QNG29" s="240"/>
      <c r="QNH29" s="239"/>
      <c r="QNI29" s="240"/>
      <c r="QNJ29" s="239"/>
      <c r="QNK29" s="240"/>
      <c r="QNL29" s="239"/>
      <c r="QNM29" s="240"/>
      <c r="QNN29" s="239"/>
      <c r="QNO29" s="240"/>
      <c r="QNP29" s="239"/>
      <c r="QNQ29" s="240"/>
      <c r="QNR29" s="239"/>
      <c r="QNS29" s="240"/>
      <c r="QNT29" s="239"/>
      <c r="QNU29" s="240"/>
      <c r="QNV29" s="239"/>
      <c r="QNW29" s="240"/>
      <c r="QNX29" s="239"/>
      <c r="QNY29" s="240"/>
      <c r="QNZ29" s="239"/>
      <c r="QOA29" s="240"/>
      <c r="QOB29" s="239"/>
      <c r="QOC29" s="240"/>
      <c r="QOD29" s="239"/>
      <c r="QOE29" s="240"/>
      <c r="QOF29" s="239"/>
      <c r="QOG29" s="240"/>
      <c r="QOH29" s="239"/>
      <c r="QOI29" s="240"/>
      <c r="QOJ29" s="239"/>
      <c r="QOK29" s="240"/>
      <c r="QOL29" s="239"/>
      <c r="QOM29" s="240"/>
      <c r="QON29" s="239"/>
      <c r="QOO29" s="240"/>
      <c r="QOP29" s="239"/>
      <c r="QOQ29" s="240"/>
      <c r="QOR29" s="239"/>
      <c r="QOS29" s="240"/>
      <c r="QOT29" s="239"/>
      <c r="QOU29" s="240"/>
      <c r="QOV29" s="239"/>
      <c r="QOW29" s="240"/>
      <c r="QOX29" s="239"/>
      <c r="QOY29" s="240"/>
      <c r="QOZ29" s="239"/>
      <c r="QPA29" s="240"/>
      <c r="QPB29" s="239"/>
      <c r="QPC29" s="240"/>
      <c r="QPD29" s="239"/>
      <c r="QPE29" s="240"/>
      <c r="QPF29" s="239"/>
      <c r="QPG29" s="240"/>
      <c r="QPH29" s="239"/>
      <c r="QPI29" s="240"/>
      <c r="QPJ29" s="239"/>
      <c r="QPK29" s="240"/>
      <c r="QPL29" s="239"/>
      <c r="QPM29" s="240"/>
      <c r="QPN29" s="239"/>
      <c r="QPO29" s="240"/>
      <c r="QPP29" s="239"/>
      <c r="QPQ29" s="240"/>
      <c r="QPR29" s="239"/>
      <c r="QPS29" s="240"/>
      <c r="QPT29" s="239"/>
      <c r="QPU29" s="240"/>
      <c r="QPV29" s="239"/>
      <c r="QPW29" s="240"/>
      <c r="QPX29" s="239"/>
      <c r="QPY29" s="240"/>
      <c r="QPZ29" s="239"/>
      <c r="QQA29" s="240"/>
      <c r="QQB29" s="239"/>
      <c r="QQC29" s="240"/>
      <c r="QQD29" s="239"/>
      <c r="QQE29" s="240"/>
      <c r="QQF29" s="239"/>
      <c r="QQG29" s="240"/>
      <c r="QQH29" s="239"/>
      <c r="QQI29" s="240"/>
      <c r="QQJ29" s="239"/>
      <c r="QQK29" s="240"/>
      <c r="QQL29" s="239"/>
      <c r="QQM29" s="240"/>
      <c r="QQN29" s="239"/>
      <c r="QQO29" s="240"/>
      <c r="QQP29" s="239"/>
      <c r="QQQ29" s="240"/>
      <c r="QQR29" s="239"/>
      <c r="QQS29" s="240"/>
      <c r="QQT29" s="239"/>
      <c r="QQU29" s="240"/>
      <c r="QQV29" s="239"/>
      <c r="QQW29" s="240"/>
      <c r="QQX29" s="239"/>
      <c r="QQY29" s="240"/>
      <c r="QQZ29" s="239"/>
      <c r="QRA29" s="240"/>
      <c r="QRB29" s="239"/>
      <c r="QRC29" s="240"/>
      <c r="QRD29" s="239"/>
      <c r="QRE29" s="240"/>
      <c r="QRF29" s="239"/>
      <c r="QRG29" s="240"/>
      <c r="QRH29" s="239"/>
      <c r="QRI29" s="240"/>
      <c r="QRJ29" s="239"/>
      <c r="QRK29" s="240"/>
      <c r="QRL29" s="239"/>
      <c r="QRM29" s="240"/>
      <c r="QRN29" s="239"/>
      <c r="QRO29" s="240"/>
      <c r="QRP29" s="239"/>
      <c r="QRQ29" s="240"/>
      <c r="QRR29" s="239"/>
      <c r="QRS29" s="240"/>
      <c r="QRT29" s="239"/>
      <c r="QRU29" s="240"/>
      <c r="QRV29" s="239"/>
      <c r="QRW29" s="240"/>
      <c r="QRX29" s="239"/>
      <c r="QRY29" s="240"/>
      <c r="QRZ29" s="239"/>
      <c r="QSA29" s="240"/>
      <c r="QSB29" s="239"/>
      <c r="QSC29" s="240"/>
      <c r="QSD29" s="239"/>
      <c r="QSE29" s="240"/>
      <c r="QSF29" s="239"/>
      <c r="QSG29" s="240"/>
      <c r="QSH29" s="239"/>
      <c r="QSI29" s="240"/>
      <c r="QSJ29" s="239"/>
      <c r="QSK29" s="240"/>
      <c r="QSL29" s="239"/>
      <c r="QSM29" s="240"/>
      <c r="QSN29" s="239"/>
      <c r="QSO29" s="240"/>
      <c r="QSP29" s="239"/>
      <c r="QSQ29" s="240"/>
      <c r="QSR29" s="239"/>
      <c r="QSS29" s="240"/>
      <c r="QST29" s="239"/>
      <c r="QSU29" s="240"/>
      <c r="QSV29" s="239"/>
      <c r="QSW29" s="240"/>
      <c r="QSX29" s="239"/>
      <c r="QSY29" s="240"/>
      <c r="QSZ29" s="239"/>
      <c r="QTA29" s="240"/>
      <c r="QTB29" s="239"/>
      <c r="QTC29" s="240"/>
      <c r="QTD29" s="239"/>
      <c r="QTE29" s="240"/>
      <c r="QTF29" s="239"/>
      <c r="QTG29" s="240"/>
      <c r="QTH29" s="239"/>
      <c r="QTI29" s="240"/>
      <c r="QTJ29" s="239"/>
      <c r="QTK29" s="240"/>
      <c r="QTL29" s="239"/>
      <c r="QTM29" s="240"/>
      <c r="QTN29" s="239"/>
      <c r="QTO29" s="240"/>
      <c r="QTP29" s="239"/>
      <c r="QTQ29" s="240"/>
      <c r="QTR29" s="239"/>
      <c r="QTS29" s="240"/>
      <c r="QTT29" s="239"/>
      <c r="QTU29" s="240"/>
      <c r="QTV29" s="239"/>
      <c r="QTW29" s="240"/>
      <c r="QTX29" s="239"/>
      <c r="QTY29" s="240"/>
      <c r="QTZ29" s="239"/>
      <c r="QUA29" s="240"/>
      <c r="QUB29" s="239"/>
      <c r="QUC29" s="240"/>
      <c r="QUD29" s="239"/>
      <c r="QUE29" s="240"/>
      <c r="QUF29" s="239"/>
      <c r="QUG29" s="240"/>
      <c r="QUH29" s="239"/>
      <c r="QUI29" s="240"/>
      <c r="QUJ29" s="239"/>
      <c r="QUK29" s="240"/>
      <c r="QUL29" s="239"/>
      <c r="QUM29" s="240"/>
      <c r="QUN29" s="239"/>
      <c r="QUO29" s="240"/>
      <c r="QUP29" s="239"/>
      <c r="QUQ29" s="240"/>
      <c r="QUR29" s="239"/>
      <c r="QUS29" s="240"/>
      <c r="QUT29" s="239"/>
      <c r="QUU29" s="240"/>
      <c r="QUV29" s="239"/>
      <c r="QUW29" s="240"/>
      <c r="QUX29" s="239"/>
      <c r="QUY29" s="240"/>
      <c r="QUZ29" s="239"/>
      <c r="QVA29" s="240"/>
      <c r="QVB29" s="239"/>
      <c r="QVC29" s="240"/>
      <c r="QVD29" s="239"/>
      <c r="QVE29" s="240"/>
      <c r="QVF29" s="239"/>
      <c r="QVG29" s="240"/>
      <c r="QVH29" s="239"/>
      <c r="QVI29" s="240"/>
      <c r="QVJ29" s="239"/>
      <c r="QVK29" s="240"/>
      <c r="QVL29" s="239"/>
      <c r="QVM29" s="240"/>
      <c r="QVN29" s="239"/>
      <c r="QVO29" s="240"/>
      <c r="QVP29" s="239"/>
      <c r="QVQ29" s="240"/>
      <c r="QVR29" s="239"/>
      <c r="QVS29" s="240"/>
      <c r="QVT29" s="239"/>
      <c r="QVU29" s="240"/>
      <c r="QVV29" s="239"/>
      <c r="QVW29" s="240"/>
      <c r="QVX29" s="239"/>
      <c r="QVY29" s="240"/>
      <c r="QVZ29" s="239"/>
      <c r="QWA29" s="240"/>
      <c r="QWB29" s="239"/>
      <c r="QWC29" s="240"/>
      <c r="QWD29" s="239"/>
      <c r="QWE29" s="240"/>
      <c r="QWF29" s="239"/>
      <c r="QWG29" s="240"/>
      <c r="QWH29" s="239"/>
      <c r="QWI29" s="240"/>
      <c r="QWJ29" s="239"/>
      <c r="QWK29" s="240"/>
      <c r="QWL29" s="239"/>
      <c r="QWM29" s="240"/>
      <c r="QWN29" s="239"/>
      <c r="QWO29" s="240"/>
      <c r="QWP29" s="239"/>
      <c r="QWQ29" s="240"/>
      <c r="QWR29" s="239"/>
      <c r="QWS29" s="240"/>
      <c r="QWT29" s="239"/>
      <c r="QWU29" s="240"/>
      <c r="QWV29" s="239"/>
      <c r="QWW29" s="240"/>
      <c r="QWX29" s="239"/>
      <c r="QWY29" s="240"/>
      <c r="QWZ29" s="239"/>
      <c r="QXA29" s="240"/>
      <c r="QXB29" s="239"/>
      <c r="QXC29" s="240"/>
      <c r="QXD29" s="239"/>
      <c r="QXE29" s="240"/>
      <c r="QXF29" s="239"/>
      <c r="QXG29" s="240"/>
      <c r="QXH29" s="239"/>
      <c r="QXI29" s="240"/>
      <c r="QXJ29" s="239"/>
      <c r="QXK29" s="240"/>
      <c r="QXL29" s="239"/>
      <c r="QXM29" s="240"/>
      <c r="QXN29" s="239"/>
      <c r="QXO29" s="240"/>
      <c r="QXP29" s="239"/>
      <c r="QXQ29" s="240"/>
      <c r="QXR29" s="239"/>
      <c r="QXS29" s="240"/>
      <c r="QXT29" s="239"/>
      <c r="QXU29" s="240"/>
      <c r="QXV29" s="239"/>
      <c r="QXW29" s="240"/>
      <c r="QXX29" s="239"/>
      <c r="QXY29" s="240"/>
      <c r="QXZ29" s="239"/>
      <c r="QYA29" s="240"/>
      <c r="QYB29" s="239"/>
      <c r="QYC29" s="240"/>
      <c r="QYD29" s="239"/>
      <c r="QYE29" s="240"/>
      <c r="QYF29" s="239"/>
      <c r="QYG29" s="240"/>
      <c r="QYH29" s="239"/>
      <c r="QYI29" s="240"/>
      <c r="QYJ29" s="239"/>
      <c r="QYK29" s="240"/>
      <c r="QYL29" s="239"/>
      <c r="QYM29" s="240"/>
      <c r="QYN29" s="239"/>
      <c r="QYO29" s="240"/>
      <c r="QYP29" s="239"/>
      <c r="QYQ29" s="240"/>
      <c r="QYR29" s="239"/>
      <c r="QYS29" s="240"/>
      <c r="QYT29" s="239"/>
      <c r="QYU29" s="240"/>
      <c r="QYV29" s="239"/>
      <c r="QYW29" s="240"/>
      <c r="QYX29" s="239"/>
      <c r="QYY29" s="240"/>
      <c r="QYZ29" s="239"/>
      <c r="QZA29" s="240"/>
      <c r="QZB29" s="239"/>
      <c r="QZC29" s="240"/>
      <c r="QZD29" s="239"/>
      <c r="QZE29" s="240"/>
      <c r="QZF29" s="239"/>
      <c r="QZG29" s="240"/>
      <c r="QZH29" s="239"/>
      <c r="QZI29" s="240"/>
      <c r="QZJ29" s="239"/>
      <c r="QZK29" s="240"/>
      <c r="QZL29" s="239"/>
      <c r="QZM29" s="240"/>
      <c r="QZN29" s="239"/>
      <c r="QZO29" s="240"/>
      <c r="QZP29" s="239"/>
      <c r="QZQ29" s="240"/>
      <c r="QZR29" s="239"/>
      <c r="QZS29" s="240"/>
      <c r="QZT29" s="239"/>
      <c r="QZU29" s="240"/>
      <c r="QZV29" s="239"/>
      <c r="QZW29" s="240"/>
      <c r="QZX29" s="239"/>
      <c r="QZY29" s="240"/>
      <c r="QZZ29" s="239"/>
      <c r="RAA29" s="240"/>
      <c r="RAB29" s="239"/>
      <c r="RAC29" s="240"/>
      <c r="RAD29" s="239"/>
      <c r="RAE29" s="240"/>
      <c r="RAF29" s="239"/>
      <c r="RAG29" s="240"/>
      <c r="RAH29" s="239"/>
      <c r="RAI29" s="240"/>
      <c r="RAJ29" s="239"/>
      <c r="RAK29" s="240"/>
      <c r="RAL29" s="239"/>
      <c r="RAM29" s="240"/>
      <c r="RAN29" s="239"/>
      <c r="RAO29" s="240"/>
      <c r="RAP29" s="239"/>
      <c r="RAQ29" s="240"/>
      <c r="RAR29" s="239"/>
      <c r="RAS29" s="240"/>
      <c r="RAT29" s="239"/>
      <c r="RAU29" s="240"/>
      <c r="RAV29" s="239"/>
      <c r="RAW29" s="240"/>
      <c r="RAX29" s="239"/>
      <c r="RAY29" s="240"/>
      <c r="RAZ29" s="239"/>
      <c r="RBA29" s="240"/>
      <c r="RBB29" s="239"/>
      <c r="RBC29" s="240"/>
      <c r="RBD29" s="239"/>
      <c r="RBE29" s="240"/>
      <c r="RBF29" s="239"/>
      <c r="RBG29" s="240"/>
      <c r="RBH29" s="239"/>
      <c r="RBI29" s="240"/>
      <c r="RBJ29" s="239"/>
      <c r="RBK29" s="240"/>
      <c r="RBL29" s="239"/>
      <c r="RBM29" s="240"/>
      <c r="RBN29" s="239"/>
      <c r="RBO29" s="240"/>
      <c r="RBP29" s="239"/>
      <c r="RBQ29" s="240"/>
      <c r="RBR29" s="239"/>
      <c r="RBS29" s="240"/>
      <c r="RBT29" s="239"/>
      <c r="RBU29" s="240"/>
      <c r="RBV29" s="239"/>
      <c r="RBW29" s="240"/>
      <c r="RBX29" s="239"/>
      <c r="RBY29" s="240"/>
      <c r="RBZ29" s="239"/>
      <c r="RCA29" s="240"/>
      <c r="RCB29" s="239"/>
      <c r="RCC29" s="240"/>
      <c r="RCD29" s="239"/>
      <c r="RCE29" s="240"/>
      <c r="RCF29" s="239"/>
      <c r="RCG29" s="240"/>
      <c r="RCH29" s="239"/>
      <c r="RCI29" s="240"/>
      <c r="RCJ29" s="239"/>
      <c r="RCK29" s="240"/>
      <c r="RCL29" s="239"/>
      <c r="RCM29" s="240"/>
      <c r="RCN29" s="239"/>
      <c r="RCO29" s="240"/>
      <c r="RCP29" s="239"/>
      <c r="RCQ29" s="240"/>
      <c r="RCR29" s="239"/>
      <c r="RCS29" s="240"/>
      <c r="RCT29" s="239"/>
      <c r="RCU29" s="240"/>
      <c r="RCV29" s="239"/>
      <c r="RCW29" s="240"/>
      <c r="RCX29" s="239"/>
      <c r="RCY29" s="240"/>
      <c r="RCZ29" s="239"/>
      <c r="RDA29" s="240"/>
      <c r="RDB29" s="239"/>
      <c r="RDC29" s="240"/>
      <c r="RDD29" s="239"/>
      <c r="RDE29" s="240"/>
      <c r="RDF29" s="239"/>
      <c r="RDG29" s="240"/>
      <c r="RDH29" s="239"/>
      <c r="RDI29" s="240"/>
      <c r="RDJ29" s="239"/>
      <c r="RDK29" s="240"/>
      <c r="RDL29" s="239"/>
      <c r="RDM29" s="240"/>
      <c r="RDN29" s="239"/>
      <c r="RDO29" s="240"/>
      <c r="RDP29" s="239"/>
      <c r="RDQ29" s="240"/>
      <c r="RDR29" s="239"/>
      <c r="RDS29" s="240"/>
      <c r="RDT29" s="239"/>
      <c r="RDU29" s="240"/>
      <c r="RDV29" s="239"/>
      <c r="RDW29" s="240"/>
      <c r="RDX29" s="239"/>
      <c r="RDY29" s="240"/>
      <c r="RDZ29" s="239"/>
      <c r="REA29" s="240"/>
      <c r="REB29" s="239"/>
      <c r="REC29" s="240"/>
      <c r="RED29" s="239"/>
      <c r="REE29" s="240"/>
      <c r="REF29" s="239"/>
      <c r="REG29" s="240"/>
      <c r="REH29" s="239"/>
      <c r="REI29" s="240"/>
      <c r="REJ29" s="239"/>
      <c r="REK29" s="240"/>
      <c r="REL29" s="239"/>
      <c r="REM29" s="240"/>
      <c r="REN29" s="239"/>
      <c r="REO29" s="240"/>
      <c r="REP29" s="239"/>
      <c r="REQ29" s="240"/>
      <c r="RER29" s="239"/>
      <c r="RES29" s="240"/>
      <c r="RET29" s="239"/>
      <c r="REU29" s="240"/>
      <c r="REV29" s="239"/>
      <c r="REW29" s="240"/>
      <c r="REX29" s="239"/>
      <c r="REY29" s="240"/>
      <c r="REZ29" s="239"/>
      <c r="RFA29" s="240"/>
      <c r="RFB29" s="239"/>
      <c r="RFC29" s="240"/>
      <c r="RFD29" s="239"/>
      <c r="RFE29" s="240"/>
      <c r="RFF29" s="239"/>
      <c r="RFG29" s="240"/>
      <c r="RFH29" s="239"/>
      <c r="RFI29" s="240"/>
      <c r="RFJ29" s="239"/>
      <c r="RFK29" s="240"/>
      <c r="RFL29" s="239"/>
      <c r="RFM29" s="240"/>
      <c r="RFN29" s="239"/>
      <c r="RFO29" s="240"/>
      <c r="RFP29" s="239"/>
      <c r="RFQ29" s="240"/>
      <c r="RFR29" s="239"/>
      <c r="RFS29" s="240"/>
      <c r="RFT29" s="239"/>
      <c r="RFU29" s="240"/>
      <c r="RFV29" s="239"/>
      <c r="RFW29" s="240"/>
      <c r="RFX29" s="239"/>
      <c r="RFY29" s="240"/>
      <c r="RFZ29" s="239"/>
      <c r="RGA29" s="240"/>
      <c r="RGB29" s="239"/>
      <c r="RGC29" s="240"/>
      <c r="RGD29" s="239"/>
      <c r="RGE29" s="240"/>
      <c r="RGF29" s="239"/>
      <c r="RGG29" s="240"/>
      <c r="RGH29" s="239"/>
      <c r="RGI29" s="240"/>
      <c r="RGJ29" s="239"/>
      <c r="RGK29" s="240"/>
      <c r="RGL29" s="239"/>
      <c r="RGM29" s="240"/>
      <c r="RGN29" s="239"/>
      <c r="RGO29" s="240"/>
      <c r="RGP29" s="239"/>
      <c r="RGQ29" s="240"/>
      <c r="RGR29" s="239"/>
      <c r="RGS29" s="240"/>
      <c r="RGT29" s="239"/>
      <c r="RGU29" s="240"/>
      <c r="RGV29" s="239"/>
      <c r="RGW29" s="240"/>
      <c r="RGX29" s="239"/>
      <c r="RGY29" s="240"/>
      <c r="RGZ29" s="239"/>
      <c r="RHA29" s="240"/>
      <c r="RHB29" s="239"/>
      <c r="RHC29" s="240"/>
      <c r="RHD29" s="239"/>
      <c r="RHE29" s="240"/>
      <c r="RHF29" s="239"/>
      <c r="RHG29" s="240"/>
      <c r="RHH29" s="239"/>
      <c r="RHI29" s="240"/>
      <c r="RHJ29" s="239"/>
      <c r="RHK29" s="240"/>
      <c r="RHL29" s="239"/>
      <c r="RHM29" s="240"/>
      <c r="RHN29" s="239"/>
      <c r="RHO29" s="240"/>
      <c r="RHP29" s="239"/>
      <c r="RHQ29" s="240"/>
      <c r="RHR29" s="239"/>
      <c r="RHS29" s="240"/>
      <c r="RHT29" s="239"/>
      <c r="RHU29" s="240"/>
      <c r="RHV29" s="239"/>
      <c r="RHW29" s="240"/>
      <c r="RHX29" s="239"/>
      <c r="RHY29" s="240"/>
      <c r="RHZ29" s="239"/>
      <c r="RIA29" s="240"/>
      <c r="RIB29" s="239"/>
      <c r="RIC29" s="240"/>
      <c r="RID29" s="239"/>
      <c r="RIE29" s="240"/>
      <c r="RIF29" s="239"/>
      <c r="RIG29" s="240"/>
      <c r="RIH29" s="239"/>
      <c r="RII29" s="240"/>
      <c r="RIJ29" s="239"/>
      <c r="RIK29" s="240"/>
      <c r="RIL29" s="239"/>
      <c r="RIM29" s="240"/>
      <c r="RIN29" s="239"/>
      <c r="RIO29" s="240"/>
      <c r="RIP29" s="239"/>
      <c r="RIQ29" s="240"/>
      <c r="RIR29" s="239"/>
      <c r="RIS29" s="240"/>
      <c r="RIT29" s="239"/>
      <c r="RIU29" s="240"/>
      <c r="RIV29" s="239"/>
      <c r="RIW29" s="240"/>
      <c r="RIX29" s="239"/>
      <c r="RIY29" s="240"/>
      <c r="RIZ29" s="239"/>
      <c r="RJA29" s="240"/>
      <c r="RJB29" s="239"/>
      <c r="RJC29" s="240"/>
      <c r="RJD29" s="239"/>
      <c r="RJE29" s="240"/>
      <c r="RJF29" s="239"/>
      <c r="RJG29" s="240"/>
      <c r="RJH29" s="239"/>
      <c r="RJI29" s="240"/>
      <c r="RJJ29" s="239"/>
      <c r="RJK29" s="240"/>
      <c r="RJL29" s="239"/>
      <c r="RJM29" s="240"/>
      <c r="RJN29" s="239"/>
      <c r="RJO29" s="240"/>
      <c r="RJP29" s="239"/>
      <c r="RJQ29" s="240"/>
      <c r="RJR29" s="239"/>
      <c r="RJS29" s="240"/>
      <c r="RJT29" s="239"/>
      <c r="RJU29" s="240"/>
      <c r="RJV29" s="239"/>
      <c r="RJW29" s="240"/>
      <c r="RJX29" s="239"/>
      <c r="RJY29" s="240"/>
      <c r="RJZ29" s="239"/>
      <c r="RKA29" s="240"/>
      <c r="RKB29" s="239"/>
      <c r="RKC29" s="240"/>
      <c r="RKD29" s="239"/>
      <c r="RKE29" s="240"/>
      <c r="RKF29" s="239"/>
      <c r="RKG29" s="240"/>
      <c r="RKH29" s="239"/>
      <c r="RKI29" s="240"/>
      <c r="RKJ29" s="239"/>
      <c r="RKK29" s="240"/>
      <c r="RKL29" s="239"/>
      <c r="RKM29" s="240"/>
      <c r="RKN29" s="239"/>
      <c r="RKO29" s="240"/>
      <c r="RKP29" s="239"/>
      <c r="RKQ29" s="240"/>
      <c r="RKR29" s="239"/>
      <c r="RKS29" s="240"/>
      <c r="RKT29" s="239"/>
      <c r="RKU29" s="240"/>
      <c r="RKV29" s="239"/>
      <c r="RKW29" s="240"/>
      <c r="RKX29" s="239"/>
      <c r="RKY29" s="240"/>
      <c r="RKZ29" s="239"/>
      <c r="RLA29" s="240"/>
      <c r="RLB29" s="239"/>
      <c r="RLC29" s="240"/>
      <c r="RLD29" s="239"/>
      <c r="RLE29" s="240"/>
      <c r="RLF29" s="239"/>
      <c r="RLG29" s="240"/>
      <c r="RLH29" s="239"/>
      <c r="RLI29" s="240"/>
      <c r="RLJ29" s="239"/>
      <c r="RLK29" s="240"/>
      <c r="RLL29" s="239"/>
      <c r="RLM29" s="240"/>
      <c r="RLN29" s="239"/>
      <c r="RLO29" s="240"/>
      <c r="RLP29" s="239"/>
      <c r="RLQ29" s="240"/>
      <c r="RLR29" s="239"/>
      <c r="RLS29" s="240"/>
      <c r="RLT29" s="239"/>
      <c r="RLU29" s="240"/>
      <c r="RLV29" s="239"/>
      <c r="RLW29" s="240"/>
      <c r="RLX29" s="239"/>
      <c r="RLY29" s="240"/>
      <c r="RLZ29" s="239"/>
      <c r="RMA29" s="240"/>
      <c r="RMB29" s="239"/>
      <c r="RMC29" s="240"/>
      <c r="RMD29" s="239"/>
      <c r="RME29" s="240"/>
      <c r="RMF29" s="239"/>
      <c r="RMG29" s="240"/>
      <c r="RMH29" s="239"/>
      <c r="RMI29" s="240"/>
      <c r="RMJ29" s="239"/>
      <c r="RMK29" s="240"/>
      <c r="RML29" s="239"/>
      <c r="RMM29" s="240"/>
      <c r="RMN29" s="239"/>
      <c r="RMO29" s="240"/>
      <c r="RMP29" s="239"/>
      <c r="RMQ29" s="240"/>
      <c r="RMR29" s="239"/>
      <c r="RMS29" s="240"/>
      <c r="RMT29" s="239"/>
      <c r="RMU29" s="240"/>
      <c r="RMV29" s="239"/>
      <c r="RMW29" s="240"/>
      <c r="RMX29" s="239"/>
      <c r="RMY29" s="240"/>
      <c r="RMZ29" s="239"/>
      <c r="RNA29" s="240"/>
      <c r="RNB29" s="239"/>
      <c r="RNC29" s="240"/>
      <c r="RND29" s="239"/>
      <c r="RNE29" s="240"/>
      <c r="RNF29" s="239"/>
      <c r="RNG29" s="240"/>
      <c r="RNH29" s="239"/>
      <c r="RNI29" s="240"/>
      <c r="RNJ29" s="239"/>
      <c r="RNK29" s="240"/>
      <c r="RNL29" s="239"/>
      <c r="RNM29" s="240"/>
      <c r="RNN29" s="239"/>
      <c r="RNO29" s="240"/>
      <c r="RNP29" s="239"/>
      <c r="RNQ29" s="240"/>
      <c r="RNR29" s="239"/>
      <c r="RNS29" s="240"/>
      <c r="RNT29" s="239"/>
      <c r="RNU29" s="240"/>
      <c r="RNV29" s="239"/>
      <c r="RNW29" s="240"/>
      <c r="RNX29" s="239"/>
      <c r="RNY29" s="240"/>
      <c r="RNZ29" s="239"/>
      <c r="ROA29" s="240"/>
      <c r="ROB29" s="239"/>
      <c r="ROC29" s="240"/>
      <c r="ROD29" s="239"/>
      <c r="ROE29" s="240"/>
      <c r="ROF29" s="239"/>
      <c r="ROG29" s="240"/>
      <c r="ROH29" s="239"/>
      <c r="ROI29" s="240"/>
      <c r="ROJ29" s="239"/>
      <c r="ROK29" s="240"/>
      <c r="ROL29" s="239"/>
      <c r="ROM29" s="240"/>
      <c r="RON29" s="239"/>
      <c r="ROO29" s="240"/>
      <c r="ROP29" s="239"/>
      <c r="ROQ29" s="240"/>
      <c r="ROR29" s="239"/>
      <c r="ROS29" s="240"/>
      <c r="ROT29" s="239"/>
      <c r="ROU29" s="240"/>
      <c r="ROV29" s="239"/>
      <c r="ROW29" s="240"/>
      <c r="ROX29" s="239"/>
      <c r="ROY29" s="240"/>
      <c r="ROZ29" s="239"/>
      <c r="RPA29" s="240"/>
      <c r="RPB29" s="239"/>
      <c r="RPC29" s="240"/>
      <c r="RPD29" s="239"/>
      <c r="RPE29" s="240"/>
      <c r="RPF29" s="239"/>
      <c r="RPG29" s="240"/>
      <c r="RPH29" s="239"/>
      <c r="RPI29" s="240"/>
      <c r="RPJ29" s="239"/>
      <c r="RPK29" s="240"/>
      <c r="RPL29" s="239"/>
      <c r="RPM29" s="240"/>
      <c r="RPN29" s="239"/>
      <c r="RPO29" s="240"/>
      <c r="RPP29" s="239"/>
      <c r="RPQ29" s="240"/>
      <c r="RPR29" s="239"/>
      <c r="RPS29" s="240"/>
      <c r="RPT29" s="239"/>
      <c r="RPU29" s="240"/>
      <c r="RPV29" s="239"/>
      <c r="RPW29" s="240"/>
      <c r="RPX29" s="239"/>
      <c r="RPY29" s="240"/>
      <c r="RPZ29" s="239"/>
      <c r="RQA29" s="240"/>
      <c r="RQB29" s="239"/>
      <c r="RQC29" s="240"/>
      <c r="RQD29" s="239"/>
      <c r="RQE29" s="240"/>
      <c r="RQF29" s="239"/>
      <c r="RQG29" s="240"/>
      <c r="RQH29" s="239"/>
      <c r="RQI29" s="240"/>
      <c r="RQJ29" s="239"/>
      <c r="RQK29" s="240"/>
      <c r="RQL29" s="239"/>
      <c r="RQM29" s="240"/>
      <c r="RQN29" s="239"/>
      <c r="RQO29" s="240"/>
      <c r="RQP29" s="239"/>
      <c r="RQQ29" s="240"/>
      <c r="RQR29" s="239"/>
      <c r="RQS29" s="240"/>
      <c r="RQT29" s="239"/>
      <c r="RQU29" s="240"/>
      <c r="RQV29" s="239"/>
      <c r="RQW29" s="240"/>
      <c r="RQX29" s="239"/>
      <c r="RQY29" s="240"/>
      <c r="RQZ29" s="239"/>
      <c r="RRA29" s="240"/>
      <c r="RRB29" s="239"/>
      <c r="RRC29" s="240"/>
      <c r="RRD29" s="239"/>
      <c r="RRE29" s="240"/>
      <c r="RRF29" s="239"/>
      <c r="RRG29" s="240"/>
      <c r="RRH29" s="239"/>
      <c r="RRI29" s="240"/>
      <c r="RRJ29" s="239"/>
      <c r="RRK29" s="240"/>
      <c r="RRL29" s="239"/>
      <c r="RRM29" s="240"/>
      <c r="RRN29" s="239"/>
      <c r="RRO29" s="240"/>
      <c r="RRP29" s="239"/>
      <c r="RRQ29" s="240"/>
      <c r="RRR29" s="239"/>
      <c r="RRS29" s="240"/>
      <c r="RRT29" s="239"/>
      <c r="RRU29" s="240"/>
      <c r="RRV29" s="239"/>
      <c r="RRW29" s="240"/>
      <c r="RRX29" s="239"/>
      <c r="RRY29" s="240"/>
      <c r="RRZ29" s="239"/>
      <c r="RSA29" s="240"/>
      <c r="RSB29" s="239"/>
      <c r="RSC29" s="240"/>
      <c r="RSD29" s="239"/>
      <c r="RSE29" s="240"/>
      <c r="RSF29" s="239"/>
      <c r="RSG29" s="240"/>
      <c r="RSH29" s="239"/>
      <c r="RSI29" s="240"/>
      <c r="RSJ29" s="239"/>
      <c r="RSK29" s="240"/>
      <c r="RSL29" s="239"/>
      <c r="RSM29" s="240"/>
      <c r="RSN29" s="239"/>
      <c r="RSO29" s="240"/>
      <c r="RSP29" s="239"/>
      <c r="RSQ29" s="240"/>
      <c r="RSR29" s="239"/>
      <c r="RSS29" s="240"/>
      <c r="RST29" s="239"/>
      <c r="RSU29" s="240"/>
      <c r="RSV29" s="239"/>
      <c r="RSW29" s="240"/>
      <c r="RSX29" s="239"/>
      <c r="RSY29" s="240"/>
      <c r="RSZ29" s="239"/>
      <c r="RTA29" s="240"/>
      <c r="RTB29" s="239"/>
      <c r="RTC29" s="240"/>
      <c r="RTD29" s="239"/>
      <c r="RTE29" s="240"/>
      <c r="RTF29" s="239"/>
      <c r="RTG29" s="240"/>
      <c r="RTH29" s="239"/>
      <c r="RTI29" s="240"/>
      <c r="RTJ29" s="239"/>
      <c r="RTK29" s="240"/>
      <c r="RTL29" s="239"/>
      <c r="RTM29" s="240"/>
      <c r="RTN29" s="239"/>
      <c r="RTO29" s="240"/>
      <c r="RTP29" s="239"/>
      <c r="RTQ29" s="240"/>
      <c r="RTR29" s="239"/>
      <c r="RTS29" s="240"/>
      <c r="RTT29" s="239"/>
      <c r="RTU29" s="240"/>
      <c r="RTV29" s="239"/>
      <c r="RTW29" s="240"/>
      <c r="RTX29" s="239"/>
      <c r="RTY29" s="240"/>
      <c r="RTZ29" s="239"/>
      <c r="RUA29" s="240"/>
      <c r="RUB29" s="239"/>
      <c r="RUC29" s="240"/>
      <c r="RUD29" s="239"/>
      <c r="RUE29" s="240"/>
      <c r="RUF29" s="239"/>
      <c r="RUG29" s="240"/>
      <c r="RUH29" s="239"/>
      <c r="RUI29" s="240"/>
      <c r="RUJ29" s="239"/>
      <c r="RUK29" s="240"/>
      <c r="RUL29" s="239"/>
      <c r="RUM29" s="240"/>
      <c r="RUN29" s="239"/>
      <c r="RUO29" s="240"/>
      <c r="RUP29" s="239"/>
      <c r="RUQ29" s="240"/>
      <c r="RUR29" s="239"/>
      <c r="RUS29" s="240"/>
      <c r="RUT29" s="239"/>
      <c r="RUU29" s="240"/>
      <c r="RUV29" s="239"/>
      <c r="RUW29" s="240"/>
      <c r="RUX29" s="239"/>
      <c r="RUY29" s="240"/>
      <c r="RUZ29" s="239"/>
      <c r="RVA29" s="240"/>
      <c r="RVB29" s="239"/>
      <c r="RVC29" s="240"/>
      <c r="RVD29" s="239"/>
      <c r="RVE29" s="240"/>
      <c r="RVF29" s="239"/>
      <c r="RVG29" s="240"/>
      <c r="RVH29" s="239"/>
      <c r="RVI29" s="240"/>
      <c r="RVJ29" s="239"/>
      <c r="RVK29" s="240"/>
      <c r="RVL29" s="239"/>
      <c r="RVM29" s="240"/>
      <c r="RVN29" s="239"/>
      <c r="RVO29" s="240"/>
      <c r="RVP29" s="239"/>
      <c r="RVQ29" s="240"/>
      <c r="RVR29" s="239"/>
      <c r="RVS29" s="240"/>
      <c r="RVT29" s="239"/>
      <c r="RVU29" s="240"/>
      <c r="RVV29" s="239"/>
      <c r="RVW29" s="240"/>
      <c r="RVX29" s="239"/>
      <c r="RVY29" s="240"/>
      <c r="RVZ29" s="239"/>
      <c r="RWA29" s="240"/>
      <c r="RWB29" s="239"/>
      <c r="RWC29" s="240"/>
      <c r="RWD29" s="239"/>
      <c r="RWE29" s="240"/>
      <c r="RWF29" s="239"/>
      <c r="RWG29" s="240"/>
      <c r="RWH29" s="239"/>
      <c r="RWI29" s="240"/>
      <c r="RWJ29" s="239"/>
      <c r="RWK29" s="240"/>
      <c r="RWL29" s="239"/>
      <c r="RWM29" s="240"/>
      <c r="RWN29" s="239"/>
      <c r="RWO29" s="240"/>
      <c r="RWP29" s="239"/>
      <c r="RWQ29" s="240"/>
      <c r="RWR29" s="239"/>
      <c r="RWS29" s="240"/>
      <c r="RWT29" s="239"/>
      <c r="RWU29" s="240"/>
      <c r="RWV29" s="239"/>
      <c r="RWW29" s="240"/>
      <c r="RWX29" s="239"/>
      <c r="RWY29" s="240"/>
      <c r="RWZ29" s="239"/>
      <c r="RXA29" s="240"/>
      <c r="RXB29" s="239"/>
      <c r="RXC29" s="240"/>
      <c r="RXD29" s="239"/>
      <c r="RXE29" s="240"/>
      <c r="RXF29" s="239"/>
      <c r="RXG29" s="240"/>
      <c r="RXH29" s="239"/>
      <c r="RXI29" s="240"/>
      <c r="RXJ29" s="239"/>
      <c r="RXK29" s="240"/>
      <c r="RXL29" s="239"/>
      <c r="RXM29" s="240"/>
      <c r="RXN29" s="239"/>
      <c r="RXO29" s="240"/>
      <c r="RXP29" s="239"/>
      <c r="RXQ29" s="240"/>
      <c r="RXR29" s="239"/>
      <c r="RXS29" s="240"/>
      <c r="RXT29" s="239"/>
      <c r="RXU29" s="240"/>
      <c r="RXV29" s="239"/>
      <c r="RXW29" s="240"/>
      <c r="RXX29" s="239"/>
      <c r="RXY29" s="240"/>
      <c r="RXZ29" s="239"/>
      <c r="RYA29" s="240"/>
      <c r="RYB29" s="239"/>
      <c r="RYC29" s="240"/>
      <c r="RYD29" s="239"/>
      <c r="RYE29" s="240"/>
      <c r="RYF29" s="239"/>
      <c r="RYG29" s="240"/>
      <c r="RYH29" s="239"/>
      <c r="RYI29" s="240"/>
      <c r="RYJ29" s="239"/>
      <c r="RYK29" s="240"/>
      <c r="RYL29" s="239"/>
      <c r="RYM29" s="240"/>
      <c r="RYN29" s="239"/>
      <c r="RYO29" s="240"/>
      <c r="RYP29" s="239"/>
      <c r="RYQ29" s="240"/>
      <c r="RYR29" s="239"/>
      <c r="RYS29" s="240"/>
      <c r="RYT29" s="239"/>
      <c r="RYU29" s="240"/>
      <c r="RYV29" s="239"/>
      <c r="RYW29" s="240"/>
      <c r="RYX29" s="239"/>
      <c r="RYY29" s="240"/>
      <c r="RYZ29" s="239"/>
      <c r="RZA29" s="240"/>
      <c r="RZB29" s="239"/>
      <c r="RZC29" s="240"/>
      <c r="RZD29" s="239"/>
      <c r="RZE29" s="240"/>
      <c r="RZF29" s="239"/>
      <c r="RZG29" s="240"/>
      <c r="RZH29" s="239"/>
      <c r="RZI29" s="240"/>
      <c r="RZJ29" s="239"/>
      <c r="RZK29" s="240"/>
      <c r="RZL29" s="239"/>
      <c r="RZM29" s="240"/>
      <c r="RZN29" s="239"/>
      <c r="RZO29" s="240"/>
      <c r="RZP29" s="239"/>
      <c r="RZQ29" s="240"/>
      <c r="RZR29" s="239"/>
      <c r="RZS29" s="240"/>
      <c r="RZT29" s="239"/>
      <c r="RZU29" s="240"/>
      <c r="RZV29" s="239"/>
      <c r="RZW29" s="240"/>
      <c r="RZX29" s="239"/>
      <c r="RZY29" s="240"/>
      <c r="RZZ29" s="239"/>
      <c r="SAA29" s="240"/>
      <c r="SAB29" s="239"/>
      <c r="SAC29" s="240"/>
      <c r="SAD29" s="239"/>
      <c r="SAE29" s="240"/>
      <c r="SAF29" s="239"/>
      <c r="SAG29" s="240"/>
      <c r="SAH29" s="239"/>
      <c r="SAI29" s="240"/>
      <c r="SAJ29" s="239"/>
      <c r="SAK29" s="240"/>
      <c r="SAL29" s="239"/>
      <c r="SAM29" s="240"/>
      <c r="SAN29" s="239"/>
      <c r="SAO29" s="240"/>
      <c r="SAP29" s="239"/>
      <c r="SAQ29" s="240"/>
      <c r="SAR29" s="239"/>
      <c r="SAS29" s="240"/>
      <c r="SAT29" s="239"/>
      <c r="SAU29" s="240"/>
      <c r="SAV29" s="239"/>
      <c r="SAW29" s="240"/>
      <c r="SAX29" s="239"/>
      <c r="SAY29" s="240"/>
      <c r="SAZ29" s="239"/>
      <c r="SBA29" s="240"/>
      <c r="SBB29" s="239"/>
      <c r="SBC29" s="240"/>
      <c r="SBD29" s="239"/>
      <c r="SBE29" s="240"/>
      <c r="SBF29" s="239"/>
      <c r="SBG29" s="240"/>
      <c r="SBH29" s="239"/>
      <c r="SBI29" s="240"/>
      <c r="SBJ29" s="239"/>
      <c r="SBK29" s="240"/>
      <c r="SBL29" s="239"/>
      <c r="SBM29" s="240"/>
      <c r="SBN29" s="239"/>
      <c r="SBO29" s="240"/>
      <c r="SBP29" s="239"/>
      <c r="SBQ29" s="240"/>
      <c r="SBR29" s="239"/>
      <c r="SBS29" s="240"/>
      <c r="SBT29" s="239"/>
      <c r="SBU29" s="240"/>
      <c r="SBV29" s="239"/>
      <c r="SBW29" s="240"/>
      <c r="SBX29" s="239"/>
      <c r="SBY29" s="240"/>
      <c r="SBZ29" s="239"/>
      <c r="SCA29" s="240"/>
      <c r="SCB29" s="239"/>
      <c r="SCC29" s="240"/>
      <c r="SCD29" s="239"/>
      <c r="SCE29" s="240"/>
      <c r="SCF29" s="239"/>
      <c r="SCG29" s="240"/>
      <c r="SCH29" s="239"/>
      <c r="SCI29" s="240"/>
      <c r="SCJ29" s="239"/>
      <c r="SCK29" s="240"/>
      <c r="SCL29" s="239"/>
      <c r="SCM29" s="240"/>
      <c r="SCN29" s="239"/>
      <c r="SCO29" s="240"/>
      <c r="SCP29" s="239"/>
      <c r="SCQ29" s="240"/>
      <c r="SCR29" s="239"/>
      <c r="SCS29" s="240"/>
      <c r="SCT29" s="239"/>
      <c r="SCU29" s="240"/>
      <c r="SCV29" s="239"/>
      <c r="SCW29" s="240"/>
      <c r="SCX29" s="239"/>
      <c r="SCY29" s="240"/>
      <c r="SCZ29" s="239"/>
      <c r="SDA29" s="240"/>
      <c r="SDB29" s="239"/>
      <c r="SDC29" s="240"/>
      <c r="SDD29" s="239"/>
      <c r="SDE29" s="240"/>
      <c r="SDF29" s="239"/>
      <c r="SDG29" s="240"/>
      <c r="SDH29" s="239"/>
      <c r="SDI29" s="240"/>
      <c r="SDJ29" s="239"/>
      <c r="SDK29" s="240"/>
      <c r="SDL29" s="239"/>
      <c r="SDM29" s="240"/>
      <c r="SDN29" s="239"/>
      <c r="SDO29" s="240"/>
      <c r="SDP29" s="239"/>
      <c r="SDQ29" s="240"/>
      <c r="SDR29" s="239"/>
      <c r="SDS29" s="240"/>
      <c r="SDT29" s="239"/>
      <c r="SDU29" s="240"/>
      <c r="SDV29" s="239"/>
      <c r="SDW29" s="240"/>
      <c r="SDX29" s="239"/>
      <c r="SDY29" s="240"/>
      <c r="SDZ29" s="239"/>
      <c r="SEA29" s="240"/>
      <c r="SEB29" s="239"/>
      <c r="SEC29" s="240"/>
      <c r="SED29" s="239"/>
      <c r="SEE29" s="240"/>
      <c r="SEF29" s="239"/>
      <c r="SEG29" s="240"/>
      <c r="SEH29" s="239"/>
      <c r="SEI29" s="240"/>
      <c r="SEJ29" s="239"/>
      <c r="SEK29" s="240"/>
      <c r="SEL29" s="239"/>
      <c r="SEM29" s="240"/>
      <c r="SEN29" s="239"/>
      <c r="SEO29" s="240"/>
      <c r="SEP29" s="239"/>
      <c r="SEQ29" s="240"/>
      <c r="SER29" s="239"/>
      <c r="SES29" s="240"/>
      <c r="SET29" s="239"/>
      <c r="SEU29" s="240"/>
      <c r="SEV29" s="239"/>
      <c r="SEW29" s="240"/>
      <c r="SEX29" s="239"/>
      <c r="SEY29" s="240"/>
      <c r="SEZ29" s="239"/>
      <c r="SFA29" s="240"/>
      <c r="SFB29" s="239"/>
      <c r="SFC29" s="240"/>
      <c r="SFD29" s="239"/>
      <c r="SFE29" s="240"/>
      <c r="SFF29" s="239"/>
      <c r="SFG29" s="240"/>
      <c r="SFH29" s="239"/>
      <c r="SFI29" s="240"/>
      <c r="SFJ29" s="239"/>
      <c r="SFK29" s="240"/>
      <c r="SFL29" s="239"/>
      <c r="SFM29" s="240"/>
      <c r="SFN29" s="239"/>
      <c r="SFO29" s="240"/>
      <c r="SFP29" s="239"/>
      <c r="SFQ29" s="240"/>
      <c r="SFR29" s="239"/>
      <c r="SFS29" s="240"/>
      <c r="SFT29" s="239"/>
      <c r="SFU29" s="240"/>
      <c r="SFV29" s="239"/>
      <c r="SFW29" s="240"/>
      <c r="SFX29" s="239"/>
      <c r="SFY29" s="240"/>
      <c r="SFZ29" s="239"/>
      <c r="SGA29" s="240"/>
      <c r="SGB29" s="239"/>
      <c r="SGC29" s="240"/>
      <c r="SGD29" s="239"/>
      <c r="SGE29" s="240"/>
      <c r="SGF29" s="239"/>
      <c r="SGG29" s="240"/>
      <c r="SGH29" s="239"/>
      <c r="SGI29" s="240"/>
      <c r="SGJ29" s="239"/>
      <c r="SGK29" s="240"/>
      <c r="SGL29" s="239"/>
      <c r="SGM29" s="240"/>
      <c r="SGN29" s="239"/>
      <c r="SGO29" s="240"/>
      <c r="SGP29" s="239"/>
      <c r="SGQ29" s="240"/>
      <c r="SGR29" s="239"/>
      <c r="SGS29" s="240"/>
      <c r="SGT29" s="239"/>
      <c r="SGU29" s="240"/>
      <c r="SGV29" s="239"/>
      <c r="SGW29" s="240"/>
      <c r="SGX29" s="239"/>
      <c r="SGY29" s="240"/>
      <c r="SGZ29" s="239"/>
      <c r="SHA29" s="240"/>
      <c r="SHB29" s="239"/>
      <c r="SHC29" s="240"/>
      <c r="SHD29" s="239"/>
      <c r="SHE29" s="240"/>
      <c r="SHF29" s="239"/>
      <c r="SHG29" s="240"/>
      <c r="SHH29" s="239"/>
      <c r="SHI29" s="240"/>
      <c r="SHJ29" s="239"/>
      <c r="SHK29" s="240"/>
      <c r="SHL29" s="239"/>
      <c r="SHM29" s="240"/>
      <c r="SHN29" s="239"/>
      <c r="SHO29" s="240"/>
      <c r="SHP29" s="239"/>
      <c r="SHQ29" s="240"/>
      <c r="SHR29" s="239"/>
      <c r="SHS29" s="240"/>
      <c r="SHT29" s="239"/>
      <c r="SHU29" s="240"/>
      <c r="SHV29" s="239"/>
      <c r="SHW29" s="240"/>
      <c r="SHX29" s="239"/>
      <c r="SHY29" s="240"/>
      <c r="SHZ29" s="239"/>
      <c r="SIA29" s="240"/>
      <c r="SIB29" s="239"/>
      <c r="SIC29" s="240"/>
      <c r="SID29" s="239"/>
      <c r="SIE29" s="240"/>
      <c r="SIF29" s="239"/>
      <c r="SIG29" s="240"/>
      <c r="SIH29" s="239"/>
      <c r="SII29" s="240"/>
      <c r="SIJ29" s="239"/>
      <c r="SIK29" s="240"/>
      <c r="SIL29" s="239"/>
      <c r="SIM29" s="240"/>
      <c r="SIN29" s="239"/>
      <c r="SIO29" s="240"/>
      <c r="SIP29" s="239"/>
      <c r="SIQ29" s="240"/>
      <c r="SIR29" s="239"/>
      <c r="SIS29" s="240"/>
      <c r="SIT29" s="239"/>
      <c r="SIU29" s="240"/>
      <c r="SIV29" s="239"/>
      <c r="SIW29" s="240"/>
      <c r="SIX29" s="239"/>
      <c r="SIY29" s="240"/>
      <c r="SIZ29" s="239"/>
      <c r="SJA29" s="240"/>
      <c r="SJB29" s="239"/>
      <c r="SJC29" s="240"/>
      <c r="SJD29" s="239"/>
      <c r="SJE29" s="240"/>
      <c r="SJF29" s="239"/>
      <c r="SJG29" s="240"/>
      <c r="SJH29" s="239"/>
      <c r="SJI29" s="240"/>
      <c r="SJJ29" s="239"/>
      <c r="SJK29" s="240"/>
      <c r="SJL29" s="239"/>
      <c r="SJM29" s="240"/>
      <c r="SJN29" s="239"/>
      <c r="SJO29" s="240"/>
      <c r="SJP29" s="239"/>
      <c r="SJQ29" s="240"/>
      <c r="SJR29" s="239"/>
      <c r="SJS29" s="240"/>
      <c r="SJT29" s="239"/>
      <c r="SJU29" s="240"/>
      <c r="SJV29" s="239"/>
      <c r="SJW29" s="240"/>
      <c r="SJX29" s="239"/>
      <c r="SJY29" s="240"/>
      <c r="SJZ29" s="239"/>
      <c r="SKA29" s="240"/>
      <c r="SKB29" s="239"/>
      <c r="SKC29" s="240"/>
      <c r="SKD29" s="239"/>
      <c r="SKE29" s="240"/>
      <c r="SKF29" s="239"/>
      <c r="SKG29" s="240"/>
      <c r="SKH29" s="239"/>
      <c r="SKI29" s="240"/>
      <c r="SKJ29" s="239"/>
      <c r="SKK29" s="240"/>
      <c r="SKL29" s="239"/>
      <c r="SKM29" s="240"/>
      <c r="SKN29" s="239"/>
      <c r="SKO29" s="240"/>
      <c r="SKP29" s="239"/>
      <c r="SKQ29" s="240"/>
      <c r="SKR29" s="239"/>
      <c r="SKS29" s="240"/>
      <c r="SKT29" s="239"/>
      <c r="SKU29" s="240"/>
      <c r="SKV29" s="239"/>
      <c r="SKW29" s="240"/>
      <c r="SKX29" s="239"/>
      <c r="SKY29" s="240"/>
      <c r="SKZ29" s="239"/>
      <c r="SLA29" s="240"/>
      <c r="SLB29" s="239"/>
      <c r="SLC29" s="240"/>
      <c r="SLD29" s="239"/>
      <c r="SLE29" s="240"/>
      <c r="SLF29" s="239"/>
      <c r="SLG29" s="240"/>
      <c r="SLH29" s="239"/>
      <c r="SLI29" s="240"/>
      <c r="SLJ29" s="239"/>
      <c r="SLK29" s="240"/>
      <c r="SLL29" s="239"/>
      <c r="SLM29" s="240"/>
      <c r="SLN29" s="239"/>
      <c r="SLO29" s="240"/>
      <c r="SLP29" s="239"/>
      <c r="SLQ29" s="240"/>
      <c r="SLR29" s="239"/>
      <c r="SLS29" s="240"/>
      <c r="SLT29" s="239"/>
      <c r="SLU29" s="240"/>
      <c r="SLV29" s="239"/>
      <c r="SLW29" s="240"/>
      <c r="SLX29" s="239"/>
      <c r="SLY29" s="240"/>
      <c r="SLZ29" s="239"/>
      <c r="SMA29" s="240"/>
      <c r="SMB29" s="239"/>
      <c r="SMC29" s="240"/>
      <c r="SMD29" s="239"/>
      <c r="SME29" s="240"/>
      <c r="SMF29" s="239"/>
      <c r="SMG29" s="240"/>
      <c r="SMH29" s="239"/>
      <c r="SMI29" s="240"/>
      <c r="SMJ29" s="239"/>
      <c r="SMK29" s="240"/>
      <c r="SML29" s="239"/>
      <c r="SMM29" s="240"/>
      <c r="SMN29" s="239"/>
      <c r="SMO29" s="240"/>
      <c r="SMP29" s="239"/>
      <c r="SMQ29" s="240"/>
      <c r="SMR29" s="239"/>
      <c r="SMS29" s="240"/>
      <c r="SMT29" s="239"/>
      <c r="SMU29" s="240"/>
      <c r="SMV29" s="239"/>
      <c r="SMW29" s="240"/>
      <c r="SMX29" s="239"/>
      <c r="SMY29" s="240"/>
      <c r="SMZ29" s="239"/>
      <c r="SNA29" s="240"/>
      <c r="SNB29" s="239"/>
      <c r="SNC29" s="240"/>
      <c r="SND29" s="239"/>
      <c r="SNE29" s="240"/>
      <c r="SNF29" s="239"/>
      <c r="SNG29" s="240"/>
      <c r="SNH29" s="239"/>
      <c r="SNI29" s="240"/>
      <c r="SNJ29" s="239"/>
      <c r="SNK29" s="240"/>
      <c r="SNL29" s="239"/>
      <c r="SNM29" s="240"/>
      <c r="SNN29" s="239"/>
      <c r="SNO29" s="240"/>
      <c r="SNP29" s="239"/>
      <c r="SNQ29" s="240"/>
      <c r="SNR29" s="239"/>
      <c r="SNS29" s="240"/>
      <c r="SNT29" s="239"/>
      <c r="SNU29" s="240"/>
      <c r="SNV29" s="239"/>
      <c r="SNW29" s="240"/>
      <c r="SNX29" s="239"/>
      <c r="SNY29" s="240"/>
      <c r="SNZ29" s="239"/>
      <c r="SOA29" s="240"/>
      <c r="SOB29" s="239"/>
      <c r="SOC29" s="240"/>
      <c r="SOD29" s="239"/>
      <c r="SOE29" s="240"/>
      <c r="SOF29" s="239"/>
      <c r="SOG29" s="240"/>
      <c r="SOH29" s="239"/>
      <c r="SOI29" s="240"/>
      <c r="SOJ29" s="239"/>
      <c r="SOK29" s="240"/>
      <c r="SOL29" s="239"/>
      <c r="SOM29" s="240"/>
      <c r="SON29" s="239"/>
      <c r="SOO29" s="240"/>
      <c r="SOP29" s="239"/>
      <c r="SOQ29" s="240"/>
      <c r="SOR29" s="239"/>
      <c r="SOS29" s="240"/>
      <c r="SOT29" s="239"/>
      <c r="SOU29" s="240"/>
      <c r="SOV29" s="239"/>
      <c r="SOW29" s="240"/>
      <c r="SOX29" s="239"/>
      <c r="SOY29" s="240"/>
      <c r="SOZ29" s="239"/>
      <c r="SPA29" s="240"/>
      <c r="SPB29" s="239"/>
      <c r="SPC29" s="240"/>
      <c r="SPD29" s="239"/>
      <c r="SPE29" s="240"/>
      <c r="SPF29" s="239"/>
      <c r="SPG29" s="240"/>
      <c r="SPH29" s="239"/>
      <c r="SPI29" s="240"/>
      <c r="SPJ29" s="239"/>
      <c r="SPK29" s="240"/>
      <c r="SPL29" s="239"/>
      <c r="SPM29" s="240"/>
      <c r="SPN29" s="239"/>
      <c r="SPO29" s="240"/>
      <c r="SPP29" s="239"/>
      <c r="SPQ29" s="240"/>
      <c r="SPR29" s="239"/>
      <c r="SPS29" s="240"/>
      <c r="SPT29" s="239"/>
      <c r="SPU29" s="240"/>
      <c r="SPV29" s="239"/>
      <c r="SPW29" s="240"/>
      <c r="SPX29" s="239"/>
      <c r="SPY29" s="240"/>
      <c r="SPZ29" s="239"/>
      <c r="SQA29" s="240"/>
      <c r="SQB29" s="239"/>
      <c r="SQC29" s="240"/>
      <c r="SQD29" s="239"/>
      <c r="SQE29" s="240"/>
      <c r="SQF29" s="239"/>
      <c r="SQG29" s="240"/>
      <c r="SQH29" s="239"/>
      <c r="SQI29" s="240"/>
      <c r="SQJ29" s="239"/>
      <c r="SQK29" s="240"/>
      <c r="SQL29" s="239"/>
      <c r="SQM29" s="240"/>
      <c r="SQN29" s="239"/>
      <c r="SQO29" s="240"/>
      <c r="SQP29" s="239"/>
      <c r="SQQ29" s="240"/>
      <c r="SQR29" s="239"/>
      <c r="SQS29" s="240"/>
      <c r="SQT29" s="239"/>
      <c r="SQU29" s="240"/>
      <c r="SQV29" s="239"/>
      <c r="SQW29" s="240"/>
      <c r="SQX29" s="239"/>
      <c r="SQY29" s="240"/>
      <c r="SQZ29" s="239"/>
      <c r="SRA29" s="240"/>
      <c r="SRB29" s="239"/>
      <c r="SRC29" s="240"/>
      <c r="SRD29" s="239"/>
      <c r="SRE29" s="240"/>
      <c r="SRF29" s="239"/>
      <c r="SRG29" s="240"/>
      <c r="SRH29" s="239"/>
      <c r="SRI29" s="240"/>
      <c r="SRJ29" s="239"/>
      <c r="SRK29" s="240"/>
      <c r="SRL29" s="239"/>
      <c r="SRM29" s="240"/>
      <c r="SRN29" s="239"/>
      <c r="SRO29" s="240"/>
      <c r="SRP29" s="239"/>
      <c r="SRQ29" s="240"/>
      <c r="SRR29" s="239"/>
      <c r="SRS29" s="240"/>
      <c r="SRT29" s="239"/>
      <c r="SRU29" s="240"/>
      <c r="SRV29" s="239"/>
      <c r="SRW29" s="240"/>
      <c r="SRX29" s="239"/>
      <c r="SRY29" s="240"/>
      <c r="SRZ29" s="239"/>
      <c r="SSA29" s="240"/>
      <c r="SSB29" s="239"/>
      <c r="SSC29" s="240"/>
      <c r="SSD29" s="239"/>
      <c r="SSE29" s="240"/>
      <c r="SSF29" s="239"/>
      <c r="SSG29" s="240"/>
      <c r="SSH29" s="239"/>
      <c r="SSI29" s="240"/>
      <c r="SSJ29" s="239"/>
      <c r="SSK29" s="240"/>
      <c r="SSL29" s="239"/>
      <c r="SSM29" s="240"/>
      <c r="SSN29" s="239"/>
      <c r="SSO29" s="240"/>
      <c r="SSP29" s="239"/>
      <c r="SSQ29" s="240"/>
      <c r="SSR29" s="239"/>
      <c r="SSS29" s="240"/>
      <c r="SST29" s="239"/>
      <c r="SSU29" s="240"/>
      <c r="SSV29" s="239"/>
      <c r="SSW29" s="240"/>
      <c r="SSX29" s="239"/>
      <c r="SSY29" s="240"/>
      <c r="SSZ29" s="239"/>
      <c r="STA29" s="240"/>
      <c r="STB29" s="239"/>
      <c r="STC29" s="240"/>
      <c r="STD29" s="239"/>
      <c r="STE29" s="240"/>
      <c r="STF29" s="239"/>
      <c r="STG29" s="240"/>
      <c r="STH29" s="239"/>
      <c r="STI29" s="240"/>
      <c r="STJ29" s="239"/>
      <c r="STK29" s="240"/>
      <c r="STL29" s="239"/>
      <c r="STM29" s="240"/>
      <c r="STN29" s="239"/>
      <c r="STO29" s="240"/>
      <c r="STP29" s="239"/>
      <c r="STQ29" s="240"/>
      <c r="STR29" s="239"/>
      <c r="STS29" s="240"/>
      <c r="STT29" s="239"/>
      <c r="STU29" s="240"/>
      <c r="STV29" s="239"/>
      <c r="STW29" s="240"/>
      <c r="STX29" s="239"/>
      <c r="STY29" s="240"/>
      <c r="STZ29" s="239"/>
      <c r="SUA29" s="240"/>
      <c r="SUB29" s="239"/>
      <c r="SUC29" s="240"/>
      <c r="SUD29" s="239"/>
      <c r="SUE29" s="240"/>
      <c r="SUF29" s="239"/>
      <c r="SUG29" s="240"/>
      <c r="SUH29" s="239"/>
      <c r="SUI29" s="240"/>
      <c r="SUJ29" s="239"/>
      <c r="SUK29" s="240"/>
      <c r="SUL29" s="239"/>
      <c r="SUM29" s="240"/>
      <c r="SUN29" s="239"/>
      <c r="SUO29" s="240"/>
      <c r="SUP29" s="239"/>
      <c r="SUQ29" s="240"/>
      <c r="SUR29" s="239"/>
      <c r="SUS29" s="240"/>
      <c r="SUT29" s="239"/>
      <c r="SUU29" s="240"/>
      <c r="SUV29" s="239"/>
      <c r="SUW29" s="240"/>
      <c r="SUX29" s="239"/>
      <c r="SUY29" s="240"/>
      <c r="SUZ29" s="239"/>
      <c r="SVA29" s="240"/>
      <c r="SVB29" s="239"/>
      <c r="SVC29" s="240"/>
      <c r="SVD29" s="239"/>
      <c r="SVE29" s="240"/>
      <c r="SVF29" s="239"/>
      <c r="SVG29" s="240"/>
      <c r="SVH29" s="239"/>
      <c r="SVI29" s="240"/>
      <c r="SVJ29" s="239"/>
      <c r="SVK29" s="240"/>
      <c r="SVL29" s="239"/>
      <c r="SVM29" s="240"/>
      <c r="SVN29" s="239"/>
      <c r="SVO29" s="240"/>
      <c r="SVP29" s="239"/>
      <c r="SVQ29" s="240"/>
      <c r="SVR29" s="239"/>
      <c r="SVS29" s="240"/>
      <c r="SVT29" s="239"/>
      <c r="SVU29" s="240"/>
      <c r="SVV29" s="239"/>
      <c r="SVW29" s="240"/>
      <c r="SVX29" s="239"/>
      <c r="SVY29" s="240"/>
      <c r="SVZ29" s="239"/>
      <c r="SWA29" s="240"/>
      <c r="SWB29" s="239"/>
      <c r="SWC29" s="240"/>
      <c r="SWD29" s="239"/>
      <c r="SWE29" s="240"/>
      <c r="SWF29" s="239"/>
      <c r="SWG29" s="240"/>
      <c r="SWH29" s="239"/>
      <c r="SWI29" s="240"/>
      <c r="SWJ29" s="239"/>
      <c r="SWK29" s="240"/>
      <c r="SWL29" s="239"/>
      <c r="SWM29" s="240"/>
      <c r="SWN29" s="239"/>
      <c r="SWO29" s="240"/>
      <c r="SWP29" s="239"/>
      <c r="SWQ29" s="240"/>
      <c r="SWR29" s="239"/>
      <c r="SWS29" s="240"/>
      <c r="SWT29" s="239"/>
      <c r="SWU29" s="240"/>
      <c r="SWV29" s="239"/>
      <c r="SWW29" s="240"/>
      <c r="SWX29" s="239"/>
      <c r="SWY29" s="240"/>
      <c r="SWZ29" s="239"/>
      <c r="SXA29" s="240"/>
      <c r="SXB29" s="239"/>
      <c r="SXC29" s="240"/>
      <c r="SXD29" s="239"/>
      <c r="SXE29" s="240"/>
      <c r="SXF29" s="239"/>
      <c r="SXG29" s="240"/>
      <c r="SXH29" s="239"/>
      <c r="SXI29" s="240"/>
      <c r="SXJ29" s="239"/>
      <c r="SXK29" s="240"/>
      <c r="SXL29" s="239"/>
      <c r="SXM29" s="240"/>
      <c r="SXN29" s="239"/>
      <c r="SXO29" s="240"/>
      <c r="SXP29" s="239"/>
      <c r="SXQ29" s="240"/>
      <c r="SXR29" s="239"/>
      <c r="SXS29" s="240"/>
      <c r="SXT29" s="239"/>
      <c r="SXU29" s="240"/>
      <c r="SXV29" s="239"/>
      <c r="SXW29" s="240"/>
      <c r="SXX29" s="239"/>
      <c r="SXY29" s="240"/>
      <c r="SXZ29" s="239"/>
      <c r="SYA29" s="240"/>
      <c r="SYB29" s="239"/>
      <c r="SYC29" s="240"/>
      <c r="SYD29" s="239"/>
      <c r="SYE29" s="240"/>
      <c r="SYF29" s="239"/>
      <c r="SYG29" s="240"/>
      <c r="SYH29" s="239"/>
      <c r="SYI29" s="240"/>
      <c r="SYJ29" s="239"/>
      <c r="SYK29" s="240"/>
      <c r="SYL29" s="239"/>
      <c r="SYM29" s="240"/>
      <c r="SYN29" s="239"/>
      <c r="SYO29" s="240"/>
      <c r="SYP29" s="239"/>
      <c r="SYQ29" s="240"/>
      <c r="SYR29" s="239"/>
      <c r="SYS29" s="240"/>
      <c r="SYT29" s="239"/>
      <c r="SYU29" s="240"/>
      <c r="SYV29" s="239"/>
      <c r="SYW29" s="240"/>
      <c r="SYX29" s="239"/>
      <c r="SYY29" s="240"/>
      <c r="SYZ29" s="239"/>
      <c r="SZA29" s="240"/>
      <c r="SZB29" s="239"/>
      <c r="SZC29" s="240"/>
      <c r="SZD29" s="239"/>
      <c r="SZE29" s="240"/>
      <c r="SZF29" s="239"/>
      <c r="SZG29" s="240"/>
      <c r="SZH29" s="239"/>
      <c r="SZI29" s="240"/>
      <c r="SZJ29" s="239"/>
      <c r="SZK29" s="240"/>
      <c r="SZL29" s="239"/>
      <c r="SZM29" s="240"/>
      <c r="SZN29" s="239"/>
      <c r="SZO29" s="240"/>
      <c r="SZP29" s="239"/>
      <c r="SZQ29" s="240"/>
      <c r="SZR29" s="239"/>
      <c r="SZS29" s="240"/>
      <c r="SZT29" s="239"/>
      <c r="SZU29" s="240"/>
      <c r="SZV29" s="239"/>
      <c r="SZW29" s="240"/>
      <c r="SZX29" s="239"/>
      <c r="SZY29" s="240"/>
      <c r="SZZ29" s="239"/>
      <c r="TAA29" s="240"/>
      <c r="TAB29" s="239"/>
      <c r="TAC29" s="240"/>
      <c r="TAD29" s="239"/>
      <c r="TAE29" s="240"/>
      <c r="TAF29" s="239"/>
      <c r="TAG29" s="240"/>
      <c r="TAH29" s="239"/>
      <c r="TAI29" s="240"/>
      <c r="TAJ29" s="239"/>
      <c r="TAK29" s="240"/>
      <c r="TAL29" s="239"/>
      <c r="TAM29" s="240"/>
      <c r="TAN29" s="239"/>
      <c r="TAO29" s="240"/>
      <c r="TAP29" s="239"/>
      <c r="TAQ29" s="240"/>
      <c r="TAR29" s="239"/>
      <c r="TAS29" s="240"/>
      <c r="TAT29" s="239"/>
      <c r="TAU29" s="240"/>
      <c r="TAV29" s="239"/>
      <c r="TAW29" s="240"/>
      <c r="TAX29" s="239"/>
      <c r="TAY29" s="240"/>
      <c r="TAZ29" s="239"/>
      <c r="TBA29" s="240"/>
      <c r="TBB29" s="239"/>
      <c r="TBC29" s="240"/>
      <c r="TBD29" s="239"/>
      <c r="TBE29" s="240"/>
      <c r="TBF29" s="239"/>
      <c r="TBG29" s="240"/>
      <c r="TBH29" s="239"/>
      <c r="TBI29" s="240"/>
      <c r="TBJ29" s="239"/>
      <c r="TBK29" s="240"/>
      <c r="TBL29" s="239"/>
      <c r="TBM29" s="240"/>
      <c r="TBN29" s="239"/>
      <c r="TBO29" s="240"/>
      <c r="TBP29" s="239"/>
      <c r="TBQ29" s="240"/>
      <c r="TBR29" s="239"/>
      <c r="TBS29" s="240"/>
      <c r="TBT29" s="239"/>
      <c r="TBU29" s="240"/>
      <c r="TBV29" s="239"/>
      <c r="TBW29" s="240"/>
      <c r="TBX29" s="239"/>
      <c r="TBY29" s="240"/>
      <c r="TBZ29" s="239"/>
      <c r="TCA29" s="240"/>
      <c r="TCB29" s="239"/>
      <c r="TCC29" s="240"/>
      <c r="TCD29" s="239"/>
      <c r="TCE29" s="240"/>
      <c r="TCF29" s="239"/>
      <c r="TCG29" s="240"/>
      <c r="TCH29" s="239"/>
      <c r="TCI29" s="240"/>
      <c r="TCJ29" s="239"/>
      <c r="TCK29" s="240"/>
      <c r="TCL29" s="239"/>
      <c r="TCM29" s="240"/>
      <c r="TCN29" s="239"/>
      <c r="TCO29" s="240"/>
      <c r="TCP29" s="239"/>
      <c r="TCQ29" s="240"/>
      <c r="TCR29" s="239"/>
      <c r="TCS29" s="240"/>
      <c r="TCT29" s="239"/>
      <c r="TCU29" s="240"/>
      <c r="TCV29" s="239"/>
      <c r="TCW29" s="240"/>
      <c r="TCX29" s="239"/>
      <c r="TCY29" s="240"/>
      <c r="TCZ29" s="239"/>
      <c r="TDA29" s="240"/>
      <c r="TDB29" s="239"/>
      <c r="TDC29" s="240"/>
      <c r="TDD29" s="239"/>
      <c r="TDE29" s="240"/>
      <c r="TDF29" s="239"/>
      <c r="TDG29" s="240"/>
      <c r="TDH29" s="239"/>
      <c r="TDI29" s="240"/>
      <c r="TDJ29" s="239"/>
      <c r="TDK29" s="240"/>
      <c r="TDL29" s="239"/>
      <c r="TDM29" s="240"/>
      <c r="TDN29" s="239"/>
      <c r="TDO29" s="240"/>
      <c r="TDP29" s="239"/>
      <c r="TDQ29" s="240"/>
      <c r="TDR29" s="239"/>
      <c r="TDS29" s="240"/>
      <c r="TDT29" s="239"/>
      <c r="TDU29" s="240"/>
      <c r="TDV29" s="239"/>
      <c r="TDW29" s="240"/>
      <c r="TDX29" s="239"/>
      <c r="TDY29" s="240"/>
      <c r="TDZ29" s="239"/>
      <c r="TEA29" s="240"/>
      <c r="TEB29" s="239"/>
      <c r="TEC29" s="240"/>
      <c r="TED29" s="239"/>
      <c r="TEE29" s="240"/>
      <c r="TEF29" s="239"/>
      <c r="TEG29" s="240"/>
      <c r="TEH29" s="239"/>
      <c r="TEI29" s="240"/>
      <c r="TEJ29" s="239"/>
      <c r="TEK29" s="240"/>
      <c r="TEL29" s="239"/>
      <c r="TEM29" s="240"/>
      <c r="TEN29" s="239"/>
      <c r="TEO29" s="240"/>
      <c r="TEP29" s="239"/>
      <c r="TEQ29" s="240"/>
      <c r="TER29" s="239"/>
      <c r="TES29" s="240"/>
      <c r="TET29" s="239"/>
      <c r="TEU29" s="240"/>
      <c r="TEV29" s="239"/>
      <c r="TEW29" s="240"/>
      <c r="TEX29" s="239"/>
      <c r="TEY29" s="240"/>
      <c r="TEZ29" s="239"/>
      <c r="TFA29" s="240"/>
      <c r="TFB29" s="239"/>
      <c r="TFC29" s="240"/>
      <c r="TFD29" s="239"/>
      <c r="TFE29" s="240"/>
      <c r="TFF29" s="239"/>
      <c r="TFG29" s="240"/>
      <c r="TFH29" s="239"/>
      <c r="TFI29" s="240"/>
      <c r="TFJ29" s="239"/>
      <c r="TFK29" s="240"/>
      <c r="TFL29" s="239"/>
      <c r="TFM29" s="240"/>
      <c r="TFN29" s="239"/>
      <c r="TFO29" s="240"/>
      <c r="TFP29" s="239"/>
      <c r="TFQ29" s="240"/>
      <c r="TFR29" s="239"/>
      <c r="TFS29" s="240"/>
      <c r="TFT29" s="239"/>
      <c r="TFU29" s="240"/>
      <c r="TFV29" s="239"/>
      <c r="TFW29" s="240"/>
      <c r="TFX29" s="239"/>
      <c r="TFY29" s="240"/>
      <c r="TFZ29" s="239"/>
      <c r="TGA29" s="240"/>
      <c r="TGB29" s="239"/>
      <c r="TGC29" s="240"/>
      <c r="TGD29" s="239"/>
      <c r="TGE29" s="240"/>
      <c r="TGF29" s="239"/>
      <c r="TGG29" s="240"/>
      <c r="TGH29" s="239"/>
      <c r="TGI29" s="240"/>
      <c r="TGJ29" s="239"/>
      <c r="TGK29" s="240"/>
      <c r="TGL29" s="239"/>
      <c r="TGM29" s="240"/>
      <c r="TGN29" s="239"/>
      <c r="TGO29" s="240"/>
      <c r="TGP29" s="239"/>
      <c r="TGQ29" s="240"/>
      <c r="TGR29" s="239"/>
      <c r="TGS29" s="240"/>
      <c r="TGT29" s="239"/>
      <c r="TGU29" s="240"/>
      <c r="TGV29" s="239"/>
      <c r="TGW29" s="240"/>
      <c r="TGX29" s="239"/>
      <c r="TGY29" s="240"/>
      <c r="TGZ29" s="239"/>
      <c r="THA29" s="240"/>
      <c r="THB29" s="239"/>
      <c r="THC29" s="240"/>
      <c r="THD29" s="239"/>
      <c r="THE29" s="240"/>
      <c r="THF29" s="239"/>
      <c r="THG29" s="240"/>
      <c r="THH29" s="239"/>
      <c r="THI29" s="240"/>
      <c r="THJ29" s="239"/>
      <c r="THK29" s="240"/>
      <c r="THL29" s="239"/>
      <c r="THM29" s="240"/>
      <c r="THN29" s="239"/>
      <c r="THO29" s="240"/>
      <c r="THP29" s="239"/>
      <c r="THQ29" s="240"/>
      <c r="THR29" s="239"/>
      <c r="THS29" s="240"/>
      <c r="THT29" s="239"/>
      <c r="THU29" s="240"/>
      <c r="THV29" s="239"/>
      <c r="THW29" s="240"/>
      <c r="THX29" s="239"/>
      <c r="THY29" s="240"/>
      <c r="THZ29" s="239"/>
      <c r="TIA29" s="240"/>
      <c r="TIB29" s="239"/>
      <c r="TIC29" s="240"/>
      <c r="TID29" s="239"/>
      <c r="TIE29" s="240"/>
      <c r="TIF29" s="239"/>
      <c r="TIG29" s="240"/>
      <c r="TIH29" s="239"/>
      <c r="TII29" s="240"/>
      <c r="TIJ29" s="239"/>
      <c r="TIK29" s="240"/>
      <c r="TIL29" s="239"/>
      <c r="TIM29" s="240"/>
      <c r="TIN29" s="239"/>
      <c r="TIO29" s="240"/>
      <c r="TIP29" s="239"/>
      <c r="TIQ29" s="240"/>
      <c r="TIR29" s="239"/>
      <c r="TIS29" s="240"/>
      <c r="TIT29" s="239"/>
      <c r="TIU29" s="240"/>
      <c r="TIV29" s="239"/>
      <c r="TIW29" s="240"/>
      <c r="TIX29" s="239"/>
      <c r="TIY29" s="240"/>
      <c r="TIZ29" s="239"/>
      <c r="TJA29" s="240"/>
      <c r="TJB29" s="239"/>
      <c r="TJC29" s="240"/>
      <c r="TJD29" s="239"/>
      <c r="TJE29" s="240"/>
      <c r="TJF29" s="239"/>
      <c r="TJG29" s="240"/>
      <c r="TJH29" s="239"/>
      <c r="TJI29" s="240"/>
      <c r="TJJ29" s="239"/>
      <c r="TJK29" s="240"/>
      <c r="TJL29" s="239"/>
      <c r="TJM29" s="240"/>
      <c r="TJN29" s="239"/>
      <c r="TJO29" s="240"/>
      <c r="TJP29" s="239"/>
      <c r="TJQ29" s="240"/>
      <c r="TJR29" s="239"/>
      <c r="TJS29" s="240"/>
      <c r="TJT29" s="239"/>
      <c r="TJU29" s="240"/>
      <c r="TJV29" s="239"/>
      <c r="TJW29" s="240"/>
      <c r="TJX29" s="239"/>
      <c r="TJY29" s="240"/>
      <c r="TJZ29" s="239"/>
      <c r="TKA29" s="240"/>
      <c r="TKB29" s="239"/>
      <c r="TKC29" s="240"/>
      <c r="TKD29" s="239"/>
      <c r="TKE29" s="240"/>
      <c r="TKF29" s="239"/>
      <c r="TKG29" s="240"/>
      <c r="TKH29" s="239"/>
      <c r="TKI29" s="240"/>
      <c r="TKJ29" s="239"/>
      <c r="TKK29" s="240"/>
      <c r="TKL29" s="239"/>
      <c r="TKM29" s="240"/>
      <c r="TKN29" s="239"/>
      <c r="TKO29" s="240"/>
      <c r="TKP29" s="239"/>
      <c r="TKQ29" s="240"/>
      <c r="TKR29" s="239"/>
      <c r="TKS29" s="240"/>
      <c r="TKT29" s="239"/>
      <c r="TKU29" s="240"/>
      <c r="TKV29" s="239"/>
      <c r="TKW29" s="240"/>
      <c r="TKX29" s="239"/>
      <c r="TKY29" s="240"/>
      <c r="TKZ29" s="239"/>
      <c r="TLA29" s="240"/>
      <c r="TLB29" s="239"/>
      <c r="TLC29" s="240"/>
      <c r="TLD29" s="239"/>
      <c r="TLE29" s="240"/>
      <c r="TLF29" s="239"/>
      <c r="TLG29" s="240"/>
      <c r="TLH29" s="239"/>
      <c r="TLI29" s="240"/>
      <c r="TLJ29" s="239"/>
      <c r="TLK29" s="240"/>
      <c r="TLL29" s="239"/>
      <c r="TLM29" s="240"/>
      <c r="TLN29" s="239"/>
      <c r="TLO29" s="240"/>
      <c r="TLP29" s="239"/>
      <c r="TLQ29" s="240"/>
      <c r="TLR29" s="239"/>
      <c r="TLS29" s="240"/>
      <c r="TLT29" s="239"/>
      <c r="TLU29" s="240"/>
      <c r="TLV29" s="239"/>
      <c r="TLW29" s="240"/>
      <c r="TLX29" s="239"/>
      <c r="TLY29" s="240"/>
      <c r="TLZ29" s="239"/>
      <c r="TMA29" s="240"/>
      <c r="TMB29" s="239"/>
      <c r="TMC29" s="240"/>
      <c r="TMD29" s="239"/>
      <c r="TME29" s="240"/>
      <c r="TMF29" s="239"/>
      <c r="TMG29" s="240"/>
      <c r="TMH29" s="239"/>
      <c r="TMI29" s="240"/>
      <c r="TMJ29" s="239"/>
      <c r="TMK29" s="240"/>
      <c r="TML29" s="239"/>
      <c r="TMM29" s="240"/>
      <c r="TMN29" s="239"/>
      <c r="TMO29" s="240"/>
      <c r="TMP29" s="239"/>
      <c r="TMQ29" s="240"/>
      <c r="TMR29" s="239"/>
      <c r="TMS29" s="240"/>
      <c r="TMT29" s="239"/>
      <c r="TMU29" s="240"/>
      <c r="TMV29" s="239"/>
      <c r="TMW29" s="240"/>
      <c r="TMX29" s="239"/>
      <c r="TMY29" s="240"/>
      <c r="TMZ29" s="239"/>
      <c r="TNA29" s="240"/>
      <c r="TNB29" s="239"/>
      <c r="TNC29" s="240"/>
      <c r="TND29" s="239"/>
      <c r="TNE29" s="240"/>
      <c r="TNF29" s="239"/>
      <c r="TNG29" s="240"/>
      <c r="TNH29" s="239"/>
      <c r="TNI29" s="240"/>
      <c r="TNJ29" s="239"/>
      <c r="TNK29" s="240"/>
      <c r="TNL29" s="239"/>
      <c r="TNM29" s="240"/>
      <c r="TNN29" s="239"/>
      <c r="TNO29" s="240"/>
      <c r="TNP29" s="239"/>
      <c r="TNQ29" s="240"/>
      <c r="TNR29" s="239"/>
      <c r="TNS29" s="240"/>
      <c r="TNT29" s="239"/>
      <c r="TNU29" s="240"/>
      <c r="TNV29" s="239"/>
      <c r="TNW29" s="240"/>
      <c r="TNX29" s="239"/>
      <c r="TNY29" s="240"/>
      <c r="TNZ29" s="239"/>
      <c r="TOA29" s="240"/>
      <c r="TOB29" s="239"/>
      <c r="TOC29" s="240"/>
      <c r="TOD29" s="239"/>
      <c r="TOE29" s="240"/>
      <c r="TOF29" s="239"/>
      <c r="TOG29" s="240"/>
      <c r="TOH29" s="239"/>
      <c r="TOI29" s="240"/>
      <c r="TOJ29" s="239"/>
      <c r="TOK29" s="240"/>
      <c r="TOL29" s="239"/>
      <c r="TOM29" s="240"/>
      <c r="TON29" s="239"/>
      <c r="TOO29" s="240"/>
      <c r="TOP29" s="239"/>
      <c r="TOQ29" s="240"/>
      <c r="TOR29" s="239"/>
      <c r="TOS29" s="240"/>
      <c r="TOT29" s="239"/>
      <c r="TOU29" s="240"/>
      <c r="TOV29" s="239"/>
      <c r="TOW29" s="240"/>
      <c r="TOX29" s="239"/>
      <c r="TOY29" s="240"/>
      <c r="TOZ29" s="239"/>
      <c r="TPA29" s="240"/>
      <c r="TPB29" s="239"/>
      <c r="TPC29" s="240"/>
      <c r="TPD29" s="239"/>
      <c r="TPE29" s="240"/>
      <c r="TPF29" s="239"/>
      <c r="TPG29" s="240"/>
      <c r="TPH29" s="239"/>
      <c r="TPI29" s="240"/>
      <c r="TPJ29" s="239"/>
      <c r="TPK29" s="240"/>
      <c r="TPL29" s="239"/>
      <c r="TPM29" s="240"/>
      <c r="TPN29" s="239"/>
      <c r="TPO29" s="240"/>
      <c r="TPP29" s="239"/>
      <c r="TPQ29" s="240"/>
      <c r="TPR29" s="239"/>
      <c r="TPS29" s="240"/>
      <c r="TPT29" s="239"/>
      <c r="TPU29" s="240"/>
      <c r="TPV29" s="239"/>
      <c r="TPW29" s="240"/>
      <c r="TPX29" s="239"/>
      <c r="TPY29" s="240"/>
      <c r="TPZ29" s="239"/>
      <c r="TQA29" s="240"/>
      <c r="TQB29" s="239"/>
      <c r="TQC29" s="240"/>
      <c r="TQD29" s="239"/>
      <c r="TQE29" s="240"/>
      <c r="TQF29" s="239"/>
      <c r="TQG29" s="240"/>
      <c r="TQH29" s="239"/>
      <c r="TQI29" s="240"/>
      <c r="TQJ29" s="239"/>
      <c r="TQK29" s="240"/>
      <c r="TQL29" s="239"/>
      <c r="TQM29" s="240"/>
      <c r="TQN29" s="239"/>
      <c r="TQO29" s="240"/>
      <c r="TQP29" s="239"/>
      <c r="TQQ29" s="240"/>
      <c r="TQR29" s="239"/>
      <c r="TQS29" s="240"/>
      <c r="TQT29" s="239"/>
      <c r="TQU29" s="240"/>
      <c r="TQV29" s="239"/>
      <c r="TQW29" s="240"/>
      <c r="TQX29" s="239"/>
      <c r="TQY29" s="240"/>
      <c r="TQZ29" s="239"/>
      <c r="TRA29" s="240"/>
      <c r="TRB29" s="239"/>
      <c r="TRC29" s="240"/>
      <c r="TRD29" s="239"/>
      <c r="TRE29" s="240"/>
      <c r="TRF29" s="239"/>
      <c r="TRG29" s="240"/>
      <c r="TRH29" s="239"/>
      <c r="TRI29" s="240"/>
      <c r="TRJ29" s="239"/>
      <c r="TRK29" s="240"/>
      <c r="TRL29" s="239"/>
      <c r="TRM29" s="240"/>
      <c r="TRN29" s="239"/>
      <c r="TRO29" s="240"/>
      <c r="TRP29" s="239"/>
      <c r="TRQ29" s="240"/>
      <c r="TRR29" s="239"/>
      <c r="TRS29" s="240"/>
      <c r="TRT29" s="239"/>
      <c r="TRU29" s="240"/>
      <c r="TRV29" s="239"/>
      <c r="TRW29" s="240"/>
      <c r="TRX29" s="239"/>
      <c r="TRY29" s="240"/>
      <c r="TRZ29" s="239"/>
      <c r="TSA29" s="240"/>
      <c r="TSB29" s="239"/>
      <c r="TSC29" s="240"/>
      <c r="TSD29" s="239"/>
      <c r="TSE29" s="240"/>
      <c r="TSF29" s="239"/>
      <c r="TSG29" s="240"/>
      <c r="TSH29" s="239"/>
      <c r="TSI29" s="240"/>
      <c r="TSJ29" s="239"/>
      <c r="TSK29" s="240"/>
      <c r="TSL29" s="239"/>
      <c r="TSM29" s="240"/>
      <c r="TSN29" s="239"/>
      <c r="TSO29" s="240"/>
      <c r="TSP29" s="239"/>
      <c r="TSQ29" s="240"/>
      <c r="TSR29" s="239"/>
      <c r="TSS29" s="240"/>
      <c r="TST29" s="239"/>
      <c r="TSU29" s="240"/>
      <c r="TSV29" s="239"/>
      <c r="TSW29" s="240"/>
      <c r="TSX29" s="239"/>
      <c r="TSY29" s="240"/>
      <c r="TSZ29" s="239"/>
      <c r="TTA29" s="240"/>
      <c r="TTB29" s="239"/>
      <c r="TTC29" s="240"/>
      <c r="TTD29" s="239"/>
      <c r="TTE29" s="240"/>
      <c r="TTF29" s="239"/>
      <c r="TTG29" s="240"/>
      <c r="TTH29" s="239"/>
      <c r="TTI29" s="240"/>
      <c r="TTJ29" s="239"/>
      <c r="TTK29" s="240"/>
      <c r="TTL29" s="239"/>
      <c r="TTM29" s="240"/>
      <c r="TTN29" s="239"/>
      <c r="TTO29" s="240"/>
      <c r="TTP29" s="239"/>
      <c r="TTQ29" s="240"/>
      <c r="TTR29" s="239"/>
      <c r="TTS29" s="240"/>
      <c r="TTT29" s="239"/>
      <c r="TTU29" s="240"/>
      <c r="TTV29" s="239"/>
      <c r="TTW29" s="240"/>
      <c r="TTX29" s="239"/>
      <c r="TTY29" s="240"/>
      <c r="TTZ29" s="239"/>
      <c r="TUA29" s="240"/>
      <c r="TUB29" s="239"/>
      <c r="TUC29" s="240"/>
      <c r="TUD29" s="239"/>
      <c r="TUE29" s="240"/>
      <c r="TUF29" s="239"/>
      <c r="TUG29" s="240"/>
      <c r="TUH29" s="239"/>
      <c r="TUI29" s="240"/>
      <c r="TUJ29" s="239"/>
      <c r="TUK29" s="240"/>
      <c r="TUL29" s="239"/>
      <c r="TUM29" s="240"/>
      <c r="TUN29" s="239"/>
      <c r="TUO29" s="240"/>
      <c r="TUP29" s="239"/>
      <c r="TUQ29" s="240"/>
      <c r="TUR29" s="239"/>
      <c r="TUS29" s="240"/>
      <c r="TUT29" s="239"/>
      <c r="TUU29" s="240"/>
      <c r="TUV29" s="239"/>
      <c r="TUW29" s="240"/>
      <c r="TUX29" s="239"/>
      <c r="TUY29" s="240"/>
      <c r="TUZ29" s="239"/>
      <c r="TVA29" s="240"/>
      <c r="TVB29" s="239"/>
      <c r="TVC29" s="240"/>
      <c r="TVD29" s="239"/>
      <c r="TVE29" s="240"/>
      <c r="TVF29" s="239"/>
      <c r="TVG29" s="240"/>
      <c r="TVH29" s="239"/>
      <c r="TVI29" s="240"/>
      <c r="TVJ29" s="239"/>
      <c r="TVK29" s="240"/>
      <c r="TVL29" s="239"/>
      <c r="TVM29" s="240"/>
      <c r="TVN29" s="239"/>
      <c r="TVO29" s="240"/>
      <c r="TVP29" s="239"/>
      <c r="TVQ29" s="240"/>
      <c r="TVR29" s="239"/>
      <c r="TVS29" s="240"/>
      <c r="TVT29" s="239"/>
      <c r="TVU29" s="240"/>
      <c r="TVV29" s="239"/>
      <c r="TVW29" s="240"/>
      <c r="TVX29" s="239"/>
      <c r="TVY29" s="240"/>
      <c r="TVZ29" s="239"/>
      <c r="TWA29" s="240"/>
      <c r="TWB29" s="239"/>
      <c r="TWC29" s="240"/>
      <c r="TWD29" s="239"/>
      <c r="TWE29" s="240"/>
      <c r="TWF29" s="239"/>
      <c r="TWG29" s="240"/>
      <c r="TWH29" s="239"/>
      <c r="TWI29" s="240"/>
      <c r="TWJ29" s="239"/>
      <c r="TWK29" s="240"/>
      <c r="TWL29" s="239"/>
      <c r="TWM29" s="240"/>
      <c r="TWN29" s="239"/>
      <c r="TWO29" s="240"/>
      <c r="TWP29" s="239"/>
      <c r="TWQ29" s="240"/>
      <c r="TWR29" s="239"/>
      <c r="TWS29" s="240"/>
      <c r="TWT29" s="239"/>
      <c r="TWU29" s="240"/>
      <c r="TWV29" s="239"/>
      <c r="TWW29" s="240"/>
      <c r="TWX29" s="239"/>
      <c r="TWY29" s="240"/>
      <c r="TWZ29" s="239"/>
      <c r="TXA29" s="240"/>
      <c r="TXB29" s="239"/>
      <c r="TXC29" s="240"/>
      <c r="TXD29" s="239"/>
      <c r="TXE29" s="240"/>
      <c r="TXF29" s="239"/>
      <c r="TXG29" s="240"/>
      <c r="TXH29" s="239"/>
      <c r="TXI29" s="240"/>
      <c r="TXJ29" s="239"/>
      <c r="TXK29" s="240"/>
      <c r="TXL29" s="239"/>
      <c r="TXM29" s="240"/>
      <c r="TXN29" s="239"/>
      <c r="TXO29" s="240"/>
      <c r="TXP29" s="239"/>
      <c r="TXQ29" s="240"/>
      <c r="TXR29" s="239"/>
      <c r="TXS29" s="240"/>
      <c r="TXT29" s="239"/>
      <c r="TXU29" s="240"/>
      <c r="TXV29" s="239"/>
      <c r="TXW29" s="240"/>
      <c r="TXX29" s="239"/>
      <c r="TXY29" s="240"/>
      <c r="TXZ29" s="239"/>
      <c r="TYA29" s="240"/>
      <c r="TYB29" s="239"/>
      <c r="TYC29" s="240"/>
      <c r="TYD29" s="239"/>
      <c r="TYE29" s="240"/>
      <c r="TYF29" s="239"/>
      <c r="TYG29" s="240"/>
      <c r="TYH29" s="239"/>
      <c r="TYI29" s="240"/>
      <c r="TYJ29" s="239"/>
      <c r="TYK29" s="240"/>
      <c r="TYL29" s="239"/>
      <c r="TYM29" s="240"/>
      <c r="TYN29" s="239"/>
      <c r="TYO29" s="240"/>
      <c r="TYP29" s="239"/>
      <c r="TYQ29" s="240"/>
      <c r="TYR29" s="239"/>
      <c r="TYS29" s="240"/>
      <c r="TYT29" s="239"/>
      <c r="TYU29" s="240"/>
      <c r="TYV29" s="239"/>
      <c r="TYW29" s="240"/>
      <c r="TYX29" s="239"/>
      <c r="TYY29" s="240"/>
      <c r="TYZ29" s="239"/>
      <c r="TZA29" s="240"/>
      <c r="TZB29" s="239"/>
      <c r="TZC29" s="240"/>
      <c r="TZD29" s="239"/>
      <c r="TZE29" s="240"/>
      <c r="TZF29" s="239"/>
      <c r="TZG29" s="240"/>
      <c r="TZH29" s="239"/>
      <c r="TZI29" s="240"/>
      <c r="TZJ29" s="239"/>
      <c r="TZK29" s="240"/>
      <c r="TZL29" s="239"/>
      <c r="TZM29" s="240"/>
      <c r="TZN29" s="239"/>
      <c r="TZO29" s="240"/>
      <c r="TZP29" s="239"/>
      <c r="TZQ29" s="240"/>
      <c r="TZR29" s="239"/>
      <c r="TZS29" s="240"/>
      <c r="TZT29" s="239"/>
      <c r="TZU29" s="240"/>
      <c r="TZV29" s="239"/>
      <c r="TZW29" s="240"/>
      <c r="TZX29" s="239"/>
      <c r="TZY29" s="240"/>
      <c r="TZZ29" s="239"/>
      <c r="UAA29" s="240"/>
      <c r="UAB29" s="239"/>
      <c r="UAC29" s="240"/>
      <c r="UAD29" s="239"/>
      <c r="UAE29" s="240"/>
      <c r="UAF29" s="239"/>
      <c r="UAG29" s="240"/>
      <c r="UAH29" s="239"/>
      <c r="UAI29" s="240"/>
      <c r="UAJ29" s="239"/>
      <c r="UAK29" s="240"/>
      <c r="UAL29" s="239"/>
      <c r="UAM29" s="240"/>
      <c r="UAN29" s="239"/>
      <c r="UAO29" s="240"/>
      <c r="UAP29" s="239"/>
      <c r="UAQ29" s="240"/>
      <c r="UAR29" s="239"/>
      <c r="UAS29" s="240"/>
      <c r="UAT29" s="239"/>
      <c r="UAU29" s="240"/>
      <c r="UAV29" s="239"/>
      <c r="UAW29" s="240"/>
      <c r="UAX29" s="239"/>
      <c r="UAY29" s="240"/>
      <c r="UAZ29" s="239"/>
      <c r="UBA29" s="240"/>
      <c r="UBB29" s="239"/>
      <c r="UBC29" s="240"/>
      <c r="UBD29" s="239"/>
      <c r="UBE29" s="240"/>
      <c r="UBF29" s="239"/>
      <c r="UBG29" s="240"/>
      <c r="UBH29" s="239"/>
      <c r="UBI29" s="240"/>
      <c r="UBJ29" s="239"/>
      <c r="UBK29" s="240"/>
      <c r="UBL29" s="239"/>
      <c r="UBM29" s="240"/>
      <c r="UBN29" s="239"/>
      <c r="UBO29" s="240"/>
      <c r="UBP29" s="239"/>
      <c r="UBQ29" s="240"/>
      <c r="UBR29" s="239"/>
      <c r="UBS29" s="240"/>
      <c r="UBT29" s="239"/>
      <c r="UBU29" s="240"/>
      <c r="UBV29" s="239"/>
      <c r="UBW29" s="240"/>
      <c r="UBX29" s="239"/>
      <c r="UBY29" s="240"/>
      <c r="UBZ29" s="239"/>
      <c r="UCA29" s="240"/>
      <c r="UCB29" s="239"/>
      <c r="UCC29" s="240"/>
      <c r="UCD29" s="239"/>
      <c r="UCE29" s="240"/>
      <c r="UCF29" s="239"/>
      <c r="UCG29" s="240"/>
      <c r="UCH29" s="239"/>
      <c r="UCI29" s="240"/>
      <c r="UCJ29" s="239"/>
      <c r="UCK29" s="240"/>
      <c r="UCL29" s="239"/>
      <c r="UCM29" s="240"/>
      <c r="UCN29" s="239"/>
      <c r="UCO29" s="240"/>
      <c r="UCP29" s="239"/>
      <c r="UCQ29" s="240"/>
      <c r="UCR29" s="239"/>
      <c r="UCS29" s="240"/>
      <c r="UCT29" s="239"/>
      <c r="UCU29" s="240"/>
      <c r="UCV29" s="239"/>
      <c r="UCW29" s="240"/>
      <c r="UCX29" s="239"/>
      <c r="UCY29" s="240"/>
      <c r="UCZ29" s="239"/>
      <c r="UDA29" s="240"/>
      <c r="UDB29" s="239"/>
      <c r="UDC29" s="240"/>
      <c r="UDD29" s="239"/>
      <c r="UDE29" s="240"/>
      <c r="UDF29" s="239"/>
      <c r="UDG29" s="240"/>
      <c r="UDH29" s="239"/>
      <c r="UDI29" s="240"/>
      <c r="UDJ29" s="239"/>
      <c r="UDK29" s="240"/>
      <c r="UDL29" s="239"/>
      <c r="UDM29" s="240"/>
      <c r="UDN29" s="239"/>
      <c r="UDO29" s="240"/>
      <c r="UDP29" s="239"/>
      <c r="UDQ29" s="240"/>
      <c r="UDR29" s="239"/>
      <c r="UDS29" s="240"/>
      <c r="UDT29" s="239"/>
      <c r="UDU29" s="240"/>
      <c r="UDV29" s="239"/>
      <c r="UDW29" s="240"/>
      <c r="UDX29" s="239"/>
      <c r="UDY29" s="240"/>
      <c r="UDZ29" s="239"/>
      <c r="UEA29" s="240"/>
      <c r="UEB29" s="239"/>
      <c r="UEC29" s="240"/>
      <c r="UED29" s="239"/>
      <c r="UEE29" s="240"/>
      <c r="UEF29" s="239"/>
      <c r="UEG29" s="240"/>
      <c r="UEH29" s="239"/>
      <c r="UEI29" s="240"/>
      <c r="UEJ29" s="239"/>
      <c r="UEK29" s="240"/>
      <c r="UEL29" s="239"/>
      <c r="UEM29" s="240"/>
      <c r="UEN29" s="239"/>
      <c r="UEO29" s="240"/>
      <c r="UEP29" s="239"/>
      <c r="UEQ29" s="240"/>
      <c r="UER29" s="239"/>
      <c r="UES29" s="240"/>
      <c r="UET29" s="239"/>
      <c r="UEU29" s="240"/>
      <c r="UEV29" s="239"/>
      <c r="UEW29" s="240"/>
      <c r="UEX29" s="239"/>
      <c r="UEY29" s="240"/>
      <c r="UEZ29" s="239"/>
      <c r="UFA29" s="240"/>
      <c r="UFB29" s="239"/>
      <c r="UFC29" s="240"/>
      <c r="UFD29" s="239"/>
      <c r="UFE29" s="240"/>
      <c r="UFF29" s="239"/>
      <c r="UFG29" s="240"/>
      <c r="UFH29" s="239"/>
      <c r="UFI29" s="240"/>
      <c r="UFJ29" s="239"/>
      <c r="UFK29" s="240"/>
      <c r="UFL29" s="239"/>
      <c r="UFM29" s="240"/>
      <c r="UFN29" s="239"/>
      <c r="UFO29" s="240"/>
      <c r="UFP29" s="239"/>
      <c r="UFQ29" s="240"/>
      <c r="UFR29" s="239"/>
      <c r="UFS29" s="240"/>
      <c r="UFT29" s="239"/>
      <c r="UFU29" s="240"/>
      <c r="UFV29" s="239"/>
      <c r="UFW29" s="240"/>
      <c r="UFX29" s="239"/>
      <c r="UFY29" s="240"/>
      <c r="UFZ29" s="239"/>
      <c r="UGA29" s="240"/>
      <c r="UGB29" s="239"/>
      <c r="UGC29" s="240"/>
      <c r="UGD29" s="239"/>
      <c r="UGE29" s="240"/>
      <c r="UGF29" s="239"/>
      <c r="UGG29" s="240"/>
      <c r="UGH29" s="239"/>
      <c r="UGI29" s="240"/>
      <c r="UGJ29" s="239"/>
      <c r="UGK29" s="240"/>
      <c r="UGL29" s="239"/>
      <c r="UGM29" s="240"/>
      <c r="UGN29" s="239"/>
      <c r="UGO29" s="240"/>
      <c r="UGP29" s="239"/>
      <c r="UGQ29" s="240"/>
      <c r="UGR29" s="239"/>
      <c r="UGS29" s="240"/>
      <c r="UGT29" s="239"/>
      <c r="UGU29" s="240"/>
      <c r="UGV29" s="239"/>
      <c r="UGW29" s="240"/>
      <c r="UGX29" s="239"/>
      <c r="UGY29" s="240"/>
      <c r="UGZ29" s="239"/>
      <c r="UHA29" s="240"/>
      <c r="UHB29" s="239"/>
      <c r="UHC29" s="240"/>
      <c r="UHD29" s="239"/>
      <c r="UHE29" s="240"/>
      <c r="UHF29" s="239"/>
      <c r="UHG29" s="240"/>
      <c r="UHH29" s="239"/>
      <c r="UHI29" s="240"/>
      <c r="UHJ29" s="239"/>
      <c r="UHK29" s="240"/>
      <c r="UHL29" s="239"/>
      <c r="UHM29" s="240"/>
      <c r="UHN29" s="239"/>
      <c r="UHO29" s="240"/>
      <c r="UHP29" s="239"/>
      <c r="UHQ29" s="240"/>
      <c r="UHR29" s="239"/>
      <c r="UHS29" s="240"/>
      <c r="UHT29" s="239"/>
      <c r="UHU29" s="240"/>
      <c r="UHV29" s="239"/>
      <c r="UHW29" s="240"/>
      <c r="UHX29" s="239"/>
      <c r="UHY29" s="240"/>
      <c r="UHZ29" s="239"/>
      <c r="UIA29" s="240"/>
      <c r="UIB29" s="239"/>
      <c r="UIC29" s="240"/>
      <c r="UID29" s="239"/>
      <c r="UIE29" s="240"/>
      <c r="UIF29" s="239"/>
      <c r="UIG29" s="240"/>
      <c r="UIH29" s="239"/>
      <c r="UII29" s="240"/>
      <c r="UIJ29" s="239"/>
      <c r="UIK29" s="240"/>
      <c r="UIL29" s="239"/>
      <c r="UIM29" s="240"/>
      <c r="UIN29" s="239"/>
      <c r="UIO29" s="240"/>
      <c r="UIP29" s="239"/>
      <c r="UIQ29" s="240"/>
      <c r="UIR29" s="239"/>
      <c r="UIS29" s="240"/>
      <c r="UIT29" s="239"/>
      <c r="UIU29" s="240"/>
      <c r="UIV29" s="239"/>
      <c r="UIW29" s="240"/>
      <c r="UIX29" s="239"/>
      <c r="UIY29" s="240"/>
      <c r="UIZ29" s="239"/>
      <c r="UJA29" s="240"/>
      <c r="UJB29" s="239"/>
      <c r="UJC29" s="240"/>
      <c r="UJD29" s="239"/>
      <c r="UJE29" s="240"/>
      <c r="UJF29" s="239"/>
      <c r="UJG29" s="240"/>
      <c r="UJH29" s="239"/>
      <c r="UJI29" s="240"/>
      <c r="UJJ29" s="239"/>
      <c r="UJK29" s="240"/>
      <c r="UJL29" s="239"/>
      <c r="UJM29" s="240"/>
      <c r="UJN29" s="239"/>
      <c r="UJO29" s="240"/>
      <c r="UJP29" s="239"/>
      <c r="UJQ29" s="240"/>
      <c r="UJR29" s="239"/>
      <c r="UJS29" s="240"/>
      <c r="UJT29" s="239"/>
      <c r="UJU29" s="240"/>
      <c r="UJV29" s="239"/>
      <c r="UJW29" s="240"/>
      <c r="UJX29" s="239"/>
      <c r="UJY29" s="240"/>
      <c r="UJZ29" s="239"/>
      <c r="UKA29" s="240"/>
      <c r="UKB29" s="239"/>
      <c r="UKC29" s="240"/>
      <c r="UKD29" s="239"/>
      <c r="UKE29" s="240"/>
      <c r="UKF29" s="239"/>
      <c r="UKG29" s="240"/>
      <c r="UKH29" s="239"/>
      <c r="UKI29" s="240"/>
      <c r="UKJ29" s="239"/>
      <c r="UKK29" s="240"/>
      <c r="UKL29" s="239"/>
      <c r="UKM29" s="240"/>
      <c r="UKN29" s="239"/>
      <c r="UKO29" s="240"/>
      <c r="UKP29" s="239"/>
      <c r="UKQ29" s="240"/>
      <c r="UKR29" s="239"/>
      <c r="UKS29" s="240"/>
      <c r="UKT29" s="239"/>
      <c r="UKU29" s="240"/>
      <c r="UKV29" s="239"/>
      <c r="UKW29" s="240"/>
      <c r="UKX29" s="239"/>
      <c r="UKY29" s="240"/>
      <c r="UKZ29" s="239"/>
      <c r="ULA29" s="240"/>
      <c r="ULB29" s="239"/>
      <c r="ULC29" s="240"/>
      <c r="ULD29" s="239"/>
      <c r="ULE29" s="240"/>
      <c r="ULF29" s="239"/>
      <c r="ULG29" s="240"/>
      <c r="ULH29" s="239"/>
      <c r="ULI29" s="240"/>
      <c r="ULJ29" s="239"/>
      <c r="ULK29" s="240"/>
      <c r="ULL29" s="239"/>
      <c r="ULM29" s="240"/>
      <c r="ULN29" s="239"/>
      <c r="ULO29" s="240"/>
      <c r="ULP29" s="239"/>
      <c r="ULQ29" s="240"/>
      <c r="ULR29" s="239"/>
      <c r="ULS29" s="240"/>
      <c r="ULT29" s="239"/>
      <c r="ULU29" s="240"/>
      <c r="ULV29" s="239"/>
      <c r="ULW29" s="240"/>
      <c r="ULX29" s="239"/>
      <c r="ULY29" s="240"/>
      <c r="ULZ29" s="239"/>
      <c r="UMA29" s="240"/>
      <c r="UMB29" s="239"/>
      <c r="UMC29" s="240"/>
      <c r="UMD29" s="239"/>
      <c r="UME29" s="240"/>
      <c r="UMF29" s="239"/>
      <c r="UMG29" s="240"/>
      <c r="UMH29" s="239"/>
      <c r="UMI29" s="240"/>
      <c r="UMJ29" s="239"/>
      <c r="UMK29" s="240"/>
      <c r="UML29" s="239"/>
      <c r="UMM29" s="240"/>
      <c r="UMN29" s="239"/>
      <c r="UMO29" s="240"/>
      <c r="UMP29" s="239"/>
      <c r="UMQ29" s="240"/>
      <c r="UMR29" s="239"/>
      <c r="UMS29" s="240"/>
      <c r="UMT29" s="239"/>
      <c r="UMU29" s="240"/>
      <c r="UMV29" s="239"/>
      <c r="UMW29" s="240"/>
      <c r="UMX29" s="239"/>
      <c r="UMY29" s="240"/>
      <c r="UMZ29" s="239"/>
      <c r="UNA29" s="240"/>
      <c r="UNB29" s="239"/>
      <c r="UNC29" s="240"/>
      <c r="UND29" s="239"/>
      <c r="UNE29" s="240"/>
      <c r="UNF29" s="239"/>
      <c r="UNG29" s="240"/>
      <c r="UNH29" s="239"/>
      <c r="UNI29" s="240"/>
      <c r="UNJ29" s="239"/>
      <c r="UNK29" s="240"/>
      <c r="UNL29" s="239"/>
      <c r="UNM29" s="240"/>
      <c r="UNN29" s="239"/>
      <c r="UNO29" s="240"/>
      <c r="UNP29" s="239"/>
      <c r="UNQ29" s="240"/>
      <c r="UNR29" s="239"/>
      <c r="UNS29" s="240"/>
      <c r="UNT29" s="239"/>
      <c r="UNU29" s="240"/>
      <c r="UNV29" s="239"/>
      <c r="UNW29" s="240"/>
      <c r="UNX29" s="239"/>
      <c r="UNY29" s="240"/>
      <c r="UNZ29" s="239"/>
      <c r="UOA29" s="240"/>
      <c r="UOB29" s="239"/>
      <c r="UOC29" s="240"/>
      <c r="UOD29" s="239"/>
      <c r="UOE29" s="240"/>
      <c r="UOF29" s="239"/>
      <c r="UOG29" s="240"/>
      <c r="UOH29" s="239"/>
      <c r="UOI29" s="240"/>
      <c r="UOJ29" s="239"/>
      <c r="UOK29" s="240"/>
      <c r="UOL29" s="239"/>
      <c r="UOM29" s="240"/>
      <c r="UON29" s="239"/>
      <c r="UOO29" s="240"/>
      <c r="UOP29" s="239"/>
      <c r="UOQ29" s="240"/>
      <c r="UOR29" s="239"/>
      <c r="UOS29" s="240"/>
      <c r="UOT29" s="239"/>
      <c r="UOU29" s="240"/>
      <c r="UOV29" s="239"/>
      <c r="UOW29" s="240"/>
      <c r="UOX29" s="239"/>
      <c r="UOY29" s="240"/>
      <c r="UOZ29" s="239"/>
      <c r="UPA29" s="240"/>
      <c r="UPB29" s="239"/>
      <c r="UPC29" s="240"/>
      <c r="UPD29" s="239"/>
      <c r="UPE29" s="240"/>
      <c r="UPF29" s="239"/>
      <c r="UPG29" s="240"/>
      <c r="UPH29" s="239"/>
      <c r="UPI29" s="240"/>
      <c r="UPJ29" s="239"/>
      <c r="UPK29" s="240"/>
      <c r="UPL29" s="239"/>
      <c r="UPM29" s="240"/>
      <c r="UPN29" s="239"/>
      <c r="UPO29" s="240"/>
      <c r="UPP29" s="239"/>
      <c r="UPQ29" s="240"/>
      <c r="UPR29" s="239"/>
      <c r="UPS29" s="240"/>
      <c r="UPT29" s="239"/>
      <c r="UPU29" s="240"/>
      <c r="UPV29" s="239"/>
      <c r="UPW29" s="240"/>
      <c r="UPX29" s="239"/>
      <c r="UPY29" s="240"/>
      <c r="UPZ29" s="239"/>
      <c r="UQA29" s="240"/>
      <c r="UQB29" s="239"/>
      <c r="UQC29" s="240"/>
      <c r="UQD29" s="239"/>
      <c r="UQE29" s="240"/>
      <c r="UQF29" s="239"/>
      <c r="UQG29" s="240"/>
      <c r="UQH29" s="239"/>
      <c r="UQI29" s="240"/>
      <c r="UQJ29" s="239"/>
      <c r="UQK29" s="240"/>
      <c r="UQL29" s="239"/>
      <c r="UQM29" s="240"/>
      <c r="UQN29" s="239"/>
      <c r="UQO29" s="240"/>
      <c r="UQP29" s="239"/>
      <c r="UQQ29" s="240"/>
      <c r="UQR29" s="239"/>
      <c r="UQS29" s="240"/>
      <c r="UQT29" s="239"/>
      <c r="UQU29" s="240"/>
      <c r="UQV29" s="239"/>
      <c r="UQW29" s="240"/>
      <c r="UQX29" s="239"/>
      <c r="UQY29" s="240"/>
      <c r="UQZ29" s="239"/>
      <c r="URA29" s="240"/>
      <c r="URB29" s="239"/>
      <c r="URC29" s="240"/>
      <c r="URD29" s="239"/>
      <c r="URE29" s="240"/>
      <c r="URF29" s="239"/>
      <c r="URG29" s="240"/>
      <c r="URH29" s="239"/>
      <c r="URI29" s="240"/>
      <c r="URJ29" s="239"/>
      <c r="URK29" s="240"/>
      <c r="URL29" s="239"/>
      <c r="URM29" s="240"/>
      <c r="URN29" s="239"/>
      <c r="URO29" s="240"/>
      <c r="URP29" s="239"/>
      <c r="URQ29" s="240"/>
      <c r="URR29" s="239"/>
      <c r="URS29" s="240"/>
      <c r="URT29" s="239"/>
      <c r="URU29" s="240"/>
      <c r="URV29" s="239"/>
      <c r="URW29" s="240"/>
      <c r="URX29" s="239"/>
      <c r="URY29" s="240"/>
      <c r="URZ29" s="239"/>
      <c r="USA29" s="240"/>
      <c r="USB29" s="239"/>
      <c r="USC29" s="240"/>
      <c r="USD29" s="239"/>
      <c r="USE29" s="240"/>
      <c r="USF29" s="239"/>
      <c r="USG29" s="240"/>
      <c r="USH29" s="239"/>
      <c r="USI29" s="240"/>
      <c r="USJ29" s="239"/>
      <c r="USK29" s="240"/>
      <c r="USL29" s="239"/>
      <c r="USM29" s="240"/>
      <c r="USN29" s="239"/>
      <c r="USO29" s="240"/>
      <c r="USP29" s="239"/>
      <c r="USQ29" s="240"/>
      <c r="USR29" s="239"/>
      <c r="USS29" s="240"/>
      <c r="UST29" s="239"/>
      <c r="USU29" s="240"/>
      <c r="USV29" s="239"/>
      <c r="USW29" s="240"/>
      <c r="USX29" s="239"/>
      <c r="USY29" s="240"/>
      <c r="USZ29" s="239"/>
      <c r="UTA29" s="240"/>
      <c r="UTB29" s="239"/>
      <c r="UTC29" s="240"/>
      <c r="UTD29" s="239"/>
      <c r="UTE29" s="240"/>
      <c r="UTF29" s="239"/>
      <c r="UTG29" s="240"/>
      <c r="UTH29" s="239"/>
      <c r="UTI29" s="240"/>
      <c r="UTJ29" s="239"/>
      <c r="UTK29" s="240"/>
      <c r="UTL29" s="239"/>
      <c r="UTM29" s="240"/>
      <c r="UTN29" s="239"/>
      <c r="UTO29" s="240"/>
      <c r="UTP29" s="239"/>
      <c r="UTQ29" s="240"/>
      <c r="UTR29" s="239"/>
      <c r="UTS29" s="240"/>
      <c r="UTT29" s="239"/>
      <c r="UTU29" s="240"/>
      <c r="UTV29" s="239"/>
      <c r="UTW29" s="240"/>
      <c r="UTX29" s="239"/>
      <c r="UTY29" s="240"/>
      <c r="UTZ29" s="239"/>
      <c r="UUA29" s="240"/>
      <c r="UUB29" s="239"/>
      <c r="UUC29" s="240"/>
      <c r="UUD29" s="239"/>
      <c r="UUE29" s="240"/>
      <c r="UUF29" s="239"/>
      <c r="UUG29" s="240"/>
      <c r="UUH29" s="239"/>
      <c r="UUI29" s="240"/>
      <c r="UUJ29" s="239"/>
      <c r="UUK29" s="240"/>
      <c r="UUL29" s="239"/>
      <c r="UUM29" s="240"/>
      <c r="UUN29" s="239"/>
      <c r="UUO29" s="240"/>
      <c r="UUP29" s="239"/>
      <c r="UUQ29" s="240"/>
      <c r="UUR29" s="239"/>
      <c r="UUS29" s="240"/>
      <c r="UUT29" s="239"/>
      <c r="UUU29" s="240"/>
      <c r="UUV29" s="239"/>
      <c r="UUW29" s="240"/>
      <c r="UUX29" s="239"/>
      <c r="UUY29" s="240"/>
      <c r="UUZ29" s="239"/>
      <c r="UVA29" s="240"/>
      <c r="UVB29" s="239"/>
      <c r="UVC29" s="240"/>
      <c r="UVD29" s="239"/>
      <c r="UVE29" s="240"/>
      <c r="UVF29" s="239"/>
      <c r="UVG29" s="240"/>
      <c r="UVH29" s="239"/>
      <c r="UVI29" s="240"/>
      <c r="UVJ29" s="239"/>
      <c r="UVK29" s="240"/>
      <c r="UVL29" s="239"/>
      <c r="UVM29" s="240"/>
      <c r="UVN29" s="239"/>
      <c r="UVO29" s="240"/>
      <c r="UVP29" s="239"/>
      <c r="UVQ29" s="240"/>
      <c r="UVR29" s="239"/>
      <c r="UVS29" s="240"/>
      <c r="UVT29" s="239"/>
      <c r="UVU29" s="240"/>
      <c r="UVV29" s="239"/>
      <c r="UVW29" s="240"/>
      <c r="UVX29" s="239"/>
      <c r="UVY29" s="240"/>
      <c r="UVZ29" s="239"/>
      <c r="UWA29" s="240"/>
      <c r="UWB29" s="239"/>
      <c r="UWC29" s="240"/>
      <c r="UWD29" s="239"/>
      <c r="UWE29" s="240"/>
      <c r="UWF29" s="239"/>
      <c r="UWG29" s="240"/>
      <c r="UWH29" s="239"/>
      <c r="UWI29" s="240"/>
      <c r="UWJ29" s="239"/>
      <c r="UWK29" s="240"/>
      <c r="UWL29" s="239"/>
      <c r="UWM29" s="240"/>
      <c r="UWN29" s="239"/>
      <c r="UWO29" s="240"/>
      <c r="UWP29" s="239"/>
      <c r="UWQ29" s="240"/>
      <c r="UWR29" s="239"/>
      <c r="UWS29" s="240"/>
      <c r="UWT29" s="239"/>
      <c r="UWU29" s="240"/>
      <c r="UWV29" s="239"/>
      <c r="UWW29" s="240"/>
      <c r="UWX29" s="239"/>
      <c r="UWY29" s="240"/>
      <c r="UWZ29" s="239"/>
      <c r="UXA29" s="240"/>
      <c r="UXB29" s="239"/>
      <c r="UXC29" s="240"/>
      <c r="UXD29" s="239"/>
      <c r="UXE29" s="240"/>
      <c r="UXF29" s="239"/>
      <c r="UXG29" s="240"/>
      <c r="UXH29" s="239"/>
      <c r="UXI29" s="240"/>
      <c r="UXJ29" s="239"/>
      <c r="UXK29" s="240"/>
      <c r="UXL29" s="239"/>
      <c r="UXM29" s="240"/>
      <c r="UXN29" s="239"/>
      <c r="UXO29" s="240"/>
      <c r="UXP29" s="239"/>
      <c r="UXQ29" s="240"/>
      <c r="UXR29" s="239"/>
      <c r="UXS29" s="240"/>
      <c r="UXT29" s="239"/>
      <c r="UXU29" s="240"/>
      <c r="UXV29" s="239"/>
      <c r="UXW29" s="240"/>
      <c r="UXX29" s="239"/>
      <c r="UXY29" s="240"/>
      <c r="UXZ29" s="239"/>
      <c r="UYA29" s="240"/>
      <c r="UYB29" s="239"/>
      <c r="UYC29" s="240"/>
      <c r="UYD29" s="239"/>
      <c r="UYE29" s="240"/>
      <c r="UYF29" s="239"/>
      <c r="UYG29" s="240"/>
      <c r="UYH29" s="239"/>
      <c r="UYI29" s="240"/>
      <c r="UYJ29" s="239"/>
      <c r="UYK29" s="240"/>
      <c r="UYL29" s="239"/>
      <c r="UYM29" s="240"/>
      <c r="UYN29" s="239"/>
      <c r="UYO29" s="240"/>
      <c r="UYP29" s="239"/>
      <c r="UYQ29" s="240"/>
      <c r="UYR29" s="239"/>
      <c r="UYS29" s="240"/>
      <c r="UYT29" s="239"/>
      <c r="UYU29" s="240"/>
      <c r="UYV29" s="239"/>
      <c r="UYW29" s="240"/>
      <c r="UYX29" s="239"/>
      <c r="UYY29" s="240"/>
      <c r="UYZ29" s="239"/>
      <c r="UZA29" s="240"/>
      <c r="UZB29" s="239"/>
      <c r="UZC29" s="240"/>
      <c r="UZD29" s="239"/>
      <c r="UZE29" s="240"/>
      <c r="UZF29" s="239"/>
      <c r="UZG29" s="240"/>
      <c r="UZH29" s="239"/>
      <c r="UZI29" s="240"/>
      <c r="UZJ29" s="239"/>
      <c r="UZK29" s="240"/>
      <c r="UZL29" s="239"/>
      <c r="UZM29" s="240"/>
      <c r="UZN29" s="239"/>
      <c r="UZO29" s="240"/>
      <c r="UZP29" s="239"/>
      <c r="UZQ29" s="240"/>
      <c r="UZR29" s="239"/>
      <c r="UZS29" s="240"/>
      <c r="UZT29" s="239"/>
      <c r="UZU29" s="240"/>
      <c r="UZV29" s="239"/>
      <c r="UZW29" s="240"/>
      <c r="UZX29" s="239"/>
      <c r="UZY29" s="240"/>
      <c r="UZZ29" s="239"/>
      <c r="VAA29" s="240"/>
      <c r="VAB29" s="239"/>
      <c r="VAC29" s="240"/>
      <c r="VAD29" s="239"/>
      <c r="VAE29" s="240"/>
      <c r="VAF29" s="239"/>
      <c r="VAG29" s="240"/>
      <c r="VAH29" s="239"/>
      <c r="VAI29" s="240"/>
      <c r="VAJ29" s="239"/>
      <c r="VAK29" s="240"/>
      <c r="VAL29" s="239"/>
      <c r="VAM29" s="240"/>
      <c r="VAN29" s="239"/>
      <c r="VAO29" s="240"/>
      <c r="VAP29" s="239"/>
      <c r="VAQ29" s="240"/>
      <c r="VAR29" s="239"/>
      <c r="VAS29" s="240"/>
      <c r="VAT29" s="239"/>
      <c r="VAU29" s="240"/>
      <c r="VAV29" s="239"/>
      <c r="VAW29" s="240"/>
      <c r="VAX29" s="239"/>
      <c r="VAY29" s="240"/>
      <c r="VAZ29" s="239"/>
      <c r="VBA29" s="240"/>
      <c r="VBB29" s="239"/>
      <c r="VBC29" s="240"/>
      <c r="VBD29" s="239"/>
      <c r="VBE29" s="240"/>
      <c r="VBF29" s="239"/>
      <c r="VBG29" s="240"/>
      <c r="VBH29" s="239"/>
      <c r="VBI29" s="240"/>
      <c r="VBJ29" s="239"/>
      <c r="VBK29" s="240"/>
      <c r="VBL29" s="239"/>
      <c r="VBM29" s="240"/>
      <c r="VBN29" s="239"/>
      <c r="VBO29" s="240"/>
      <c r="VBP29" s="239"/>
      <c r="VBQ29" s="240"/>
      <c r="VBR29" s="239"/>
      <c r="VBS29" s="240"/>
      <c r="VBT29" s="239"/>
      <c r="VBU29" s="240"/>
      <c r="VBV29" s="239"/>
      <c r="VBW29" s="240"/>
      <c r="VBX29" s="239"/>
      <c r="VBY29" s="240"/>
      <c r="VBZ29" s="239"/>
      <c r="VCA29" s="240"/>
      <c r="VCB29" s="239"/>
      <c r="VCC29" s="240"/>
      <c r="VCD29" s="239"/>
      <c r="VCE29" s="240"/>
      <c r="VCF29" s="239"/>
      <c r="VCG29" s="240"/>
      <c r="VCH29" s="239"/>
      <c r="VCI29" s="240"/>
      <c r="VCJ29" s="239"/>
      <c r="VCK29" s="240"/>
      <c r="VCL29" s="239"/>
      <c r="VCM29" s="240"/>
      <c r="VCN29" s="239"/>
      <c r="VCO29" s="240"/>
      <c r="VCP29" s="239"/>
      <c r="VCQ29" s="240"/>
      <c r="VCR29" s="239"/>
      <c r="VCS29" s="240"/>
      <c r="VCT29" s="239"/>
      <c r="VCU29" s="240"/>
      <c r="VCV29" s="239"/>
      <c r="VCW29" s="240"/>
      <c r="VCX29" s="239"/>
      <c r="VCY29" s="240"/>
      <c r="VCZ29" s="239"/>
      <c r="VDA29" s="240"/>
      <c r="VDB29" s="239"/>
      <c r="VDC29" s="240"/>
      <c r="VDD29" s="239"/>
      <c r="VDE29" s="240"/>
      <c r="VDF29" s="239"/>
      <c r="VDG29" s="240"/>
      <c r="VDH29" s="239"/>
      <c r="VDI29" s="240"/>
      <c r="VDJ29" s="239"/>
      <c r="VDK29" s="240"/>
      <c r="VDL29" s="239"/>
      <c r="VDM29" s="240"/>
      <c r="VDN29" s="239"/>
      <c r="VDO29" s="240"/>
      <c r="VDP29" s="239"/>
      <c r="VDQ29" s="240"/>
      <c r="VDR29" s="239"/>
      <c r="VDS29" s="240"/>
      <c r="VDT29" s="239"/>
      <c r="VDU29" s="240"/>
      <c r="VDV29" s="239"/>
      <c r="VDW29" s="240"/>
      <c r="VDX29" s="239"/>
      <c r="VDY29" s="240"/>
      <c r="VDZ29" s="239"/>
      <c r="VEA29" s="240"/>
      <c r="VEB29" s="239"/>
      <c r="VEC29" s="240"/>
      <c r="VED29" s="239"/>
      <c r="VEE29" s="240"/>
      <c r="VEF29" s="239"/>
      <c r="VEG29" s="240"/>
      <c r="VEH29" s="239"/>
      <c r="VEI29" s="240"/>
      <c r="VEJ29" s="239"/>
      <c r="VEK29" s="240"/>
      <c r="VEL29" s="239"/>
      <c r="VEM29" s="240"/>
      <c r="VEN29" s="239"/>
      <c r="VEO29" s="240"/>
      <c r="VEP29" s="239"/>
      <c r="VEQ29" s="240"/>
      <c r="VER29" s="239"/>
      <c r="VES29" s="240"/>
      <c r="VET29" s="239"/>
      <c r="VEU29" s="240"/>
      <c r="VEV29" s="239"/>
      <c r="VEW29" s="240"/>
      <c r="VEX29" s="239"/>
      <c r="VEY29" s="240"/>
      <c r="VEZ29" s="239"/>
      <c r="VFA29" s="240"/>
      <c r="VFB29" s="239"/>
      <c r="VFC29" s="240"/>
      <c r="VFD29" s="239"/>
      <c r="VFE29" s="240"/>
      <c r="VFF29" s="239"/>
      <c r="VFG29" s="240"/>
      <c r="VFH29" s="239"/>
      <c r="VFI29" s="240"/>
      <c r="VFJ29" s="239"/>
      <c r="VFK29" s="240"/>
      <c r="VFL29" s="239"/>
      <c r="VFM29" s="240"/>
      <c r="VFN29" s="239"/>
      <c r="VFO29" s="240"/>
      <c r="VFP29" s="239"/>
      <c r="VFQ29" s="240"/>
      <c r="VFR29" s="239"/>
      <c r="VFS29" s="240"/>
      <c r="VFT29" s="239"/>
      <c r="VFU29" s="240"/>
      <c r="VFV29" s="239"/>
      <c r="VFW29" s="240"/>
      <c r="VFX29" s="239"/>
      <c r="VFY29" s="240"/>
      <c r="VFZ29" s="239"/>
      <c r="VGA29" s="240"/>
      <c r="VGB29" s="239"/>
      <c r="VGC29" s="240"/>
      <c r="VGD29" s="239"/>
      <c r="VGE29" s="240"/>
      <c r="VGF29" s="239"/>
      <c r="VGG29" s="240"/>
      <c r="VGH29" s="239"/>
      <c r="VGI29" s="240"/>
      <c r="VGJ29" s="239"/>
      <c r="VGK29" s="240"/>
      <c r="VGL29" s="239"/>
      <c r="VGM29" s="240"/>
      <c r="VGN29" s="239"/>
      <c r="VGO29" s="240"/>
      <c r="VGP29" s="239"/>
      <c r="VGQ29" s="240"/>
      <c r="VGR29" s="239"/>
      <c r="VGS29" s="240"/>
      <c r="VGT29" s="239"/>
      <c r="VGU29" s="240"/>
      <c r="VGV29" s="239"/>
      <c r="VGW29" s="240"/>
      <c r="VGX29" s="239"/>
      <c r="VGY29" s="240"/>
      <c r="VGZ29" s="239"/>
      <c r="VHA29" s="240"/>
      <c r="VHB29" s="239"/>
      <c r="VHC29" s="240"/>
      <c r="VHD29" s="239"/>
      <c r="VHE29" s="240"/>
      <c r="VHF29" s="239"/>
      <c r="VHG29" s="240"/>
      <c r="VHH29" s="239"/>
      <c r="VHI29" s="240"/>
      <c r="VHJ29" s="239"/>
      <c r="VHK29" s="240"/>
      <c r="VHL29" s="239"/>
      <c r="VHM29" s="240"/>
      <c r="VHN29" s="239"/>
      <c r="VHO29" s="240"/>
      <c r="VHP29" s="239"/>
      <c r="VHQ29" s="240"/>
      <c r="VHR29" s="239"/>
      <c r="VHS29" s="240"/>
      <c r="VHT29" s="239"/>
      <c r="VHU29" s="240"/>
      <c r="VHV29" s="239"/>
      <c r="VHW29" s="240"/>
      <c r="VHX29" s="239"/>
      <c r="VHY29" s="240"/>
      <c r="VHZ29" s="239"/>
      <c r="VIA29" s="240"/>
      <c r="VIB29" s="239"/>
      <c r="VIC29" s="240"/>
      <c r="VID29" s="239"/>
      <c r="VIE29" s="240"/>
      <c r="VIF29" s="239"/>
      <c r="VIG29" s="240"/>
      <c r="VIH29" s="239"/>
      <c r="VII29" s="240"/>
      <c r="VIJ29" s="239"/>
      <c r="VIK29" s="240"/>
      <c r="VIL29" s="239"/>
      <c r="VIM29" s="240"/>
      <c r="VIN29" s="239"/>
      <c r="VIO29" s="240"/>
      <c r="VIP29" s="239"/>
      <c r="VIQ29" s="240"/>
      <c r="VIR29" s="239"/>
      <c r="VIS29" s="240"/>
      <c r="VIT29" s="239"/>
      <c r="VIU29" s="240"/>
      <c r="VIV29" s="239"/>
      <c r="VIW29" s="240"/>
      <c r="VIX29" s="239"/>
      <c r="VIY29" s="240"/>
      <c r="VIZ29" s="239"/>
      <c r="VJA29" s="240"/>
      <c r="VJB29" s="239"/>
      <c r="VJC29" s="240"/>
      <c r="VJD29" s="239"/>
      <c r="VJE29" s="240"/>
      <c r="VJF29" s="239"/>
      <c r="VJG29" s="240"/>
      <c r="VJH29" s="239"/>
      <c r="VJI29" s="240"/>
      <c r="VJJ29" s="239"/>
      <c r="VJK29" s="240"/>
      <c r="VJL29" s="239"/>
      <c r="VJM29" s="240"/>
      <c r="VJN29" s="239"/>
      <c r="VJO29" s="240"/>
      <c r="VJP29" s="239"/>
      <c r="VJQ29" s="240"/>
      <c r="VJR29" s="239"/>
      <c r="VJS29" s="240"/>
      <c r="VJT29" s="239"/>
      <c r="VJU29" s="240"/>
      <c r="VJV29" s="239"/>
      <c r="VJW29" s="240"/>
      <c r="VJX29" s="239"/>
      <c r="VJY29" s="240"/>
      <c r="VJZ29" s="239"/>
      <c r="VKA29" s="240"/>
      <c r="VKB29" s="239"/>
      <c r="VKC29" s="240"/>
      <c r="VKD29" s="239"/>
      <c r="VKE29" s="240"/>
      <c r="VKF29" s="239"/>
      <c r="VKG29" s="240"/>
      <c r="VKH29" s="239"/>
      <c r="VKI29" s="240"/>
      <c r="VKJ29" s="239"/>
      <c r="VKK29" s="240"/>
      <c r="VKL29" s="239"/>
      <c r="VKM29" s="240"/>
      <c r="VKN29" s="239"/>
      <c r="VKO29" s="240"/>
      <c r="VKP29" s="239"/>
      <c r="VKQ29" s="240"/>
      <c r="VKR29" s="239"/>
      <c r="VKS29" s="240"/>
      <c r="VKT29" s="239"/>
      <c r="VKU29" s="240"/>
      <c r="VKV29" s="239"/>
      <c r="VKW29" s="240"/>
      <c r="VKX29" s="239"/>
      <c r="VKY29" s="240"/>
      <c r="VKZ29" s="239"/>
      <c r="VLA29" s="240"/>
      <c r="VLB29" s="239"/>
      <c r="VLC29" s="240"/>
      <c r="VLD29" s="239"/>
      <c r="VLE29" s="240"/>
      <c r="VLF29" s="239"/>
      <c r="VLG29" s="240"/>
      <c r="VLH29" s="239"/>
      <c r="VLI29" s="240"/>
      <c r="VLJ29" s="239"/>
      <c r="VLK29" s="240"/>
      <c r="VLL29" s="239"/>
      <c r="VLM29" s="240"/>
      <c r="VLN29" s="239"/>
      <c r="VLO29" s="240"/>
      <c r="VLP29" s="239"/>
      <c r="VLQ29" s="240"/>
      <c r="VLR29" s="239"/>
      <c r="VLS29" s="240"/>
      <c r="VLT29" s="239"/>
      <c r="VLU29" s="240"/>
      <c r="VLV29" s="239"/>
      <c r="VLW29" s="240"/>
      <c r="VLX29" s="239"/>
      <c r="VLY29" s="240"/>
      <c r="VLZ29" s="239"/>
      <c r="VMA29" s="240"/>
      <c r="VMB29" s="239"/>
      <c r="VMC29" s="240"/>
      <c r="VMD29" s="239"/>
      <c r="VME29" s="240"/>
      <c r="VMF29" s="239"/>
      <c r="VMG29" s="240"/>
      <c r="VMH29" s="239"/>
      <c r="VMI29" s="240"/>
      <c r="VMJ29" s="239"/>
      <c r="VMK29" s="240"/>
      <c r="VML29" s="239"/>
      <c r="VMM29" s="240"/>
      <c r="VMN29" s="239"/>
      <c r="VMO29" s="240"/>
      <c r="VMP29" s="239"/>
      <c r="VMQ29" s="240"/>
      <c r="VMR29" s="239"/>
      <c r="VMS29" s="240"/>
      <c r="VMT29" s="239"/>
      <c r="VMU29" s="240"/>
      <c r="VMV29" s="239"/>
      <c r="VMW29" s="240"/>
      <c r="VMX29" s="239"/>
      <c r="VMY29" s="240"/>
      <c r="VMZ29" s="239"/>
      <c r="VNA29" s="240"/>
      <c r="VNB29" s="239"/>
      <c r="VNC29" s="240"/>
      <c r="VND29" s="239"/>
      <c r="VNE29" s="240"/>
      <c r="VNF29" s="239"/>
      <c r="VNG29" s="240"/>
      <c r="VNH29" s="239"/>
      <c r="VNI29" s="240"/>
      <c r="VNJ29" s="239"/>
      <c r="VNK29" s="240"/>
      <c r="VNL29" s="239"/>
      <c r="VNM29" s="240"/>
      <c r="VNN29" s="239"/>
      <c r="VNO29" s="240"/>
      <c r="VNP29" s="239"/>
      <c r="VNQ29" s="240"/>
      <c r="VNR29" s="239"/>
      <c r="VNS29" s="240"/>
      <c r="VNT29" s="239"/>
      <c r="VNU29" s="240"/>
      <c r="VNV29" s="239"/>
      <c r="VNW29" s="240"/>
      <c r="VNX29" s="239"/>
      <c r="VNY29" s="240"/>
      <c r="VNZ29" s="239"/>
      <c r="VOA29" s="240"/>
      <c r="VOB29" s="239"/>
      <c r="VOC29" s="240"/>
      <c r="VOD29" s="239"/>
      <c r="VOE29" s="240"/>
      <c r="VOF29" s="239"/>
      <c r="VOG29" s="240"/>
      <c r="VOH29" s="239"/>
      <c r="VOI29" s="240"/>
      <c r="VOJ29" s="239"/>
      <c r="VOK29" s="240"/>
      <c r="VOL29" s="239"/>
      <c r="VOM29" s="240"/>
      <c r="VON29" s="239"/>
      <c r="VOO29" s="240"/>
      <c r="VOP29" s="239"/>
      <c r="VOQ29" s="240"/>
      <c r="VOR29" s="239"/>
      <c r="VOS29" s="240"/>
      <c r="VOT29" s="239"/>
      <c r="VOU29" s="240"/>
      <c r="VOV29" s="239"/>
      <c r="VOW29" s="240"/>
      <c r="VOX29" s="239"/>
      <c r="VOY29" s="240"/>
      <c r="VOZ29" s="239"/>
      <c r="VPA29" s="240"/>
      <c r="VPB29" s="239"/>
      <c r="VPC29" s="240"/>
      <c r="VPD29" s="239"/>
      <c r="VPE29" s="240"/>
      <c r="VPF29" s="239"/>
      <c r="VPG29" s="240"/>
      <c r="VPH29" s="239"/>
      <c r="VPI29" s="240"/>
      <c r="VPJ29" s="239"/>
      <c r="VPK29" s="240"/>
      <c r="VPL29" s="239"/>
      <c r="VPM29" s="240"/>
      <c r="VPN29" s="239"/>
      <c r="VPO29" s="240"/>
      <c r="VPP29" s="239"/>
      <c r="VPQ29" s="240"/>
      <c r="VPR29" s="239"/>
      <c r="VPS29" s="240"/>
      <c r="VPT29" s="239"/>
      <c r="VPU29" s="240"/>
      <c r="VPV29" s="239"/>
      <c r="VPW29" s="240"/>
      <c r="VPX29" s="239"/>
      <c r="VPY29" s="240"/>
      <c r="VPZ29" s="239"/>
      <c r="VQA29" s="240"/>
      <c r="VQB29" s="239"/>
      <c r="VQC29" s="240"/>
      <c r="VQD29" s="239"/>
      <c r="VQE29" s="240"/>
      <c r="VQF29" s="239"/>
      <c r="VQG29" s="240"/>
      <c r="VQH29" s="239"/>
      <c r="VQI29" s="240"/>
      <c r="VQJ29" s="239"/>
      <c r="VQK29" s="240"/>
      <c r="VQL29" s="239"/>
      <c r="VQM29" s="240"/>
      <c r="VQN29" s="239"/>
      <c r="VQO29" s="240"/>
      <c r="VQP29" s="239"/>
      <c r="VQQ29" s="240"/>
      <c r="VQR29" s="239"/>
      <c r="VQS29" s="240"/>
      <c r="VQT29" s="239"/>
      <c r="VQU29" s="240"/>
      <c r="VQV29" s="239"/>
      <c r="VQW29" s="240"/>
      <c r="VQX29" s="239"/>
      <c r="VQY29" s="240"/>
      <c r="VQZ29" s="239"/>
      <c r="VRA29" s="240"/>
      <c r="VRB29" s="239"/>
      <c r="VRC29" s="240"/>
      <c r="VRD29" s="239"/>
      <c r="VRE29" s="240"/>
      <c r="VRF29" s="239"/>
      <c r="VRG29" s="240"/>
      <c r="VRH29" s="239"/>
      <c r="VRI29" s="240"/>
      <c r="VRJ29" s="239"/>
      <c r="VRK29" s="240"/>
      <c r="VRL29" s="239"/>
      <c r="VRM29" s="240"/>
      <c r="VRN29" s="239"/>
      <c r="VRO29" s="240"/>
      <c r="VRP29" s="239"/>
      <c r="VRQ29" s="240"/>
      <c r="VRR29" s="239"/>
      <c r="VRS29" s="240"/>
      <c r="VRT29" s="239"/>
      <c r="VRU29" s="240"/>
      <c r="VRV29" s="239"/>
      <c r="VRW29" s="240"/>
      <c r="VRX29" s="239"/>
      <c r="VRY29" s="240"/>
      <c r="VRZ29" s="239"/>
      <c r="VSA29" s="240"/>
      <c r="VSB29" s="239"/>
      <c r="VSC29" s="240"/>
      <c r="VSD29" s="239"/>
      <c r="VSE29" s="240"/>
      <c r="VSF29" s="239"/>
      <c r="VSG29" s="240"/>
      <c r="VSH29" s="239"/>
      <c r="VSI29" s="240"/>
      <c r="VSJ29" s="239"/>
      <c r="VSK29" s="240"/>
      <c r="VSL29" s="239"/>
      <c r="VSM29" s="240"/>
      <c r="VSN29" s="239"/>
      <c r="VSO29" s="240"/>
      <c r="VSP29" s="239"/>
      <c r="VSQ29" s="240"/>
      <c r="VSR29" s="239"/>
      <c r="VSS29" s="240"/>
      <c r="VST29" s="239"/>
      <c r="VSU29" s="240"/>
      <c r="VSV29" s="239"/>
      <c r="VSW29" s="240"/>
      <c r="VSX29" s="239"/>
      <c r="VSY29" s="240"/>
      <c r="VSZ29" s="239"/>
      <c r="VTA29" s="240"/>
      <c r="VTB29" s="239"/>
      <c r="VTC29" s="240"/>
      <c r="VTD29" s="239"/>
      <c r="VTE29" s="240"/>
      <c r="VTF29" s="239"/>
      <c r="VTG29" s="240"/>
      <c r="VTH29" s="239"/>
      <c r="VTI29" s="240"/>
      <c r="VTJ29" s="239"/>
      <c r="VTK29" s="240"/>
      <c r="VTL29" s="239"/>
      <c r="VTM29" s="240"/>
      <c r="VTN29" s="239"/>
      <c r="VTO29" s="240"/>
      <c r="VTP29" s="239"/>
      <c r="VTQ29" s="240"/>
      <c r="VTR29" s="239"/>
      <c r="VTS29" s="240"/>
      <c r="VTT29" s="239"/>
      <c r="VTU29" s="240"/>
      <c r="VTV29" s="239"/>
      <c r="VTW29" s="240"/>
      <c r="VTX29" s="239"/>
      <c r="VTY29" s="240"/>
      <c r="VTZ29" s="239"/>
      <c r="VUA29" s="240"/>
      <c r="VUB29" s="239"/>
      <c r="VUC29" s="240"/>
      <c r="VUD29" s="239"/>
      <c r="VUE29" s="240"/>
      <c r="VUF29" s="239"/>
      <c r="VUG29" s="240"/>
      <c r="VUH29" s="239"/>
      <c r="VUI29" s="240"/>
      <c r="VUJ29" s="239"/>
      <c r="VUK29" s="240"/>
      <c r="VUL29" s="239"/>
      <c r="VUM29" s="240"/>
      <c r="VUN29" s="239"/>
      <c r="VUO29" s="240"/>
      <c r="VUP29" s="239"/>
      <c r="VUQ29" s="240"/>
      <c r="VUR29" s="239"/>
      <c r="VUS29" s="240"/>
      <c r="VUT29" s="239"/>
      <c r="VUU29" s="240"/>
      <c r="VUV29" s="239"/>
      <c r="VUW29" s="240"/>
      <c r="VUX29" s="239"/>
      <c r="VUY29" s="240"/>
      <c r="VUZ29" s="239"/>
      <c r="VVA29" s="240"/>
      <c r="VVB29" s="239"/>
      <c r="VVC29" s="240"/>
      <c r="VVD29" s="239"/>
      <c r="VVE29" s="240"/>
      <c r="VVF29" s="239"/>
      <c r="VVG29" s="240"/>
      <c r="VVH29" s="239"/>
      <c r="VVI29" s="240"/>
      <c r="VVJ29" s="239"/>
      <c r="VVK29" s="240"/>
      <c r="VVL29" s="239"/>
      <c r="VVM29" s="240"/>
      <c r="VVN29" s="239"/>
      <c r="VVO29" s="240"/>
      <c r="VVP29" s="239"/>
      <c r="VVQ29" s="240"/>
      <c r="VVR29" s="239"/>
      <c r="VVS29" s="240"/>
      <c r="VVT29" s="239"/>
      <c r="VVU29" s="240"/>
      <c r="VVV29" s="239"/>
      <c r="VVW29" s="240"/>
      <c r="VVX29" s="239"/>
      <c r="VVY29" s="240"/>
      <c r="VVZ29" s="239"/>
      <c r="VWA29" s="240"/>
      <c r="VWB29" s="239"/>
      <c r="VWC29" s="240"/>
      <c r="VWD29" s="239"/>
      <c r="VWE29" s="240"/>
      <c r="VWF29" s="239"/>
      <c r="VWG29" s="240"/>
      <c r="VWH29" s="239"/>
      <c r="VWI29" s="240"/>
      <c r="VWJ29" s="239"/>
      <c r="VWK29" s="240"/>
      <c r="VWL29" s="239"/>
      <c r="VWM29" s="240"/>
      <c r="VWN29" s="239"/>
      <c r="VWO29" s="240"/>
      <c r="VWP29" s="239"/>
      <c r="VWQ29" s="240"/>
      <c r="VWR29" s="239"/>
      <c r="VWS29" s="240"/>
      <c r="VWT29" s="239"/>
      <c r="VWU29" s="240"/>
      <c r="VWV29" s="239"/>
      <c r="VWW29" s="240"/>
      <c r="VWX29" s="239"/>
      <c r="VWY29" s="240"/>
      <c r="VWZ29" s="239"/>
      <c r="VXA29" s="240"/>
      <c r="VXB29" s="239"/>
      <c r="VXC29" s="240"/>
      <c r="VXD29" s="239"/>
      <c r="VXE29" s="240"/>
      <c r="VXF29" s="239"/>
      <c r="VXG29" s="240"/>
      <c r="VXH29" s="239"/>
      <c r="VXI29" s="240"/>
      <c r="VXJ29" s="239"/>
      <c r="VXK29" s="240"/>
      <c r="VXL29" s="239"/>
      <c r="VXM29" s="240"/>
      <c r="VXN29" s="239"/>
      <c r="VXO29" s="240"/>
      <c r="VXP29" s="239"/>
      <c r="VXQ29" s="240"/>
      <c r="VXR29" s="239"/>
      <c r="VXS29" s="240"/>
      <c r="VXT29" s="239"/>
      <c r="VXU29" s="240"/>
      <c r="VXV29" s="239"/>
      <c r="VXW29" s="240"/>
      <c r="VXX29" s="239"/>
      <c r="VXY29" s="240"/>
      <c r="VXZ29" s="239"/>
      <c r="VYA29" s="240"/>
      <c r="VYB29" s="239"/>
      <c r="VYC29" s="240"/>
      <c r="VYD29" s="239"/>
      <c r="VYE29" s="240"/>
      <c r="VYF29" s="239"/>
      <c r="VYG29" s="240"/>
      <c r="VYH29" s="239"/>
      <c r="VYI29" s="240"/>
      <c r="VYJ29" s="239"/>
      <c r="VYK29" s="240"/>
      <c r="VYL29" s="239"/>
      <c r="VYM29" s="240"/>
      <c r="VYN29" s="239"/>
      <c r="VYO29" s="240"/>
      <c r="VYP29" s="239"/>
      <c r="VYQ29" s="240"/>
      <c r="VYR29" s="239"/>
      <c r="VYS29" s="240"/>
      <c r="VYT29" s="239"/>
      <c r="VYU29" s="240"/>
      <c r="VYV29" s="239"/>
      <c r="VYW29" s="240"/>
      <c r="VYX29" s="239"/>
      <c r="VYY29" s="240"/>
      <c r="VYZ29" s="239"/>
      <c r="VZA29" s="240"/>
      <c r="VZB29" s="239"/>
      <c r="VZC29" s="240"/>
      <c r="VZD29" s="239"/>
      <c r="VZE29" s="240"/>
      <c r="VZF29" s="239"/>
      <c r="VZG29" s="240"/>
      <c r="VZH29" s="239"/>
      <c r="VZI29" s="240"/>
      <c r="VZJ29" s="239"/>
      <c r="VZK29" s="240"/>
      <c r="VZL29" s="239"/>
      <c r="VZM29" s="240"/>
      <c r="VZN29" s="239"/>
      <c r="VZO29" s="240"/>
      <c r="VZP29" s="239"/>
      <c r="VZQ29" s="240"/>
      <c r="VZR29" s="239"/>
      <c r="VZS29" s="240"/>
      <c r="VZT29" s="239"/>
      <c r="VZU29" s="240"/>
      <c r="VZV29" s="239"/>
      <c r="VZW29" s="240"/>
      <c r="VZX29" s="239"/>
      <c r="VZY29" s="240"/>
      <c r="VZZ29" s="239"/>
      <c r="WAA29" s="240"/>
      <c r="WAB29" s="239"/>
      <c r="WAC29" s="240"/>
      <c r="WAD29" s="239"/>
      <c r="WAE29" s="240"/>
      <c r="WAF29" s="239"/>
      <c r="WAG29" s="240"/>
      <c r="WAH29" s="239"/>
      <c r="WAI29" s="240"/>
      <c r="WAJ29" s="239"/>
      <c r="WAK29" s="240"/>
      <c r="WAL29" s="239"/>
      <c r="WAM29" s="240"/>
      <c r="WAN29" s="239"/>
      <c r="WAO29" s="240"/>
      <c r="WAP29" s="239"/>
      <c r="WAQ29" s="240"/>
      <c r="WAR29" s="239"/>
      <c r="WAS29" s="240"/>
      <c r="WAT29" s="239"/>
      <c r="WAU29" s="240"/>
      <c r="WAV29" s="239"/>
      <c r="WAW29" s="240"/>
      <c r="WAX29" s="239"/>
      <c r="WAY29" s="240"/>
      <c r="WAZ29" s="239"/>
      <c r="WBA29" s="240"/>
      <c r="WBB29" s="239"/>
      <c r="WBC29" s="240"/>
      <c r="WBD29" s="239"/>
      <c r="WBE29" s="240"/>
      <c r="WBF29" s="239"/>
      <c r="WBG29" s="240"/>
      <c r="WBH29" s="239"/>
      <c r="WBI29" s="240"/>
      <c r="WBJ29" s="239"/>
      <c r="WBK29" s="240"/>
      <c r="WBL29" s="239"/>
      <c r="WBM29" s="240"/>
      <c r="WBN29" s="239"/>
      <c r="WBO29" s="240"/>
      <c r="WBP29" s="239"/>
      <c r="WBQ29" s="240"/>
      <c r="WBR29" s="239"/>
      <c r="WBS29" s="240"/>
      <c r="WBT29" s="239"/>
      <c r="WBU29" s="240"/>
      <c r="WBV29" s="239"/>
      <c r="WBW29" s="240"/>
      <c r="WBX29" s="239"/>
      <c r="WBY29" s="240"/>
      <c r="WBZ29" s="239"/>
      <c r="WCA29" s="240"/>
      <c r="WCB29" s="239"/>
      <c r="WCC29" s="240"/>
      <c r="WCD29" s="239"/>
      <c r="WCE29" s="240"/>
      <c r="WCF29" s="239"/>
      <c r="WCG29" s="240"/>
      <c r="WCH29" s="239"/>
      <c r="WCI29" s="240"/>
      <c r="WCJ29" s="239"/>
      <c r="WCK29" s="240"/>
      <c r="WCL29" s="239"/>
      <c r="WCM29" s="240"/>
      <c r="WCN29" s="239"/>
      <c r="WCO29" s="240"/>
      <c r="WCP29" s="239"/>
      <c r="WCQ29" s="240"/>
      <c r="WCR29" s="239"/>
      <c r="WCS29" s="240"/>
      <c r="WCT29" s="239"/>
      <c r="WCU29" s="240"/>
      <c r="WCV29" s="239"/>
      <c r="WCW29" s="240"/>
      <c r="WCX29" s="239"/>
      <c r="WCY29" s="240"/>
      <c r="WCZ29" s="239"/>
      <c r="WDA29" s="240"/>
      <c r="WDB29" s="239"/>
      <c r="WDC29" s="240"/>
      <c r="WDD29" s="239"/>
      <c r="WDE29" s="240"/>
      <c r="WDF29" s="239"/>
      <c r="WDG29" s="240"/>
      <c r="WDH29" s="239"/>
      <c r="WDI29" s="240"/>
      <c r="WDJ29" s="239"/>
      <c r="WDK29" s="240"/>
      <c r="WDL29" s="239"/>
      <c r="WDM29" s="240"/>
      <c r="WDN29" s="239"/>
      <c r="WDO29" s="240"/>
      <c r="WDP29" s="239"/>
      <c r="WDQ29" s="240"/>
      <c r="WDR29" s="239"/>
      <c r="WDS29" s="240"/>
      <c r="WDT29" s="239"/>
      <c r="WDU29" s="240"/>
      <c r="WDV29" s="239"/>
      <c r="WDW29" s="240"/>
      <c r="WDX29" s="239"/>
      <c r="WDY29" s="240"/>
      <c r="WDZ29" s="239"/>
      <c r="WEA29" s="240"/>
      <c r="WEB29" s="239"/>
      <c r="WEC29" s="240"/>
      <c r="WED29" s="239"/>
      <c r="WEE29" s="240"/>
      <c r="WEF29" s="239"/>
      <c r="WEG29" s="240"/>
      <c r="WEH29" s="239"/>
      <c r="WEI29" s="240"/>
      <c r="WEJ29" s="239"/>
      <c r="WEK29" s="240"/>
      <c r="WEL29" s="239"/>
      <c r="WEM29" s="240"/>
      <c r="WEN29" s="239"/>
      <c r="WEO29" s="240"/>
      <c r="WEP29" s="239"/>
      <c r="WEQ29" s="240"/>
      <c r="WER29" s="239"/>
      <c r="WES29" s="240"/>
      <c r="WET29" s="239"/>
      <c r="WEU29" s="240"/>
      <c r="WEV29" s="239"/>
      <c r="WEW29" s="240"/>
      <c r="WEX29" s="239"/>
      <c r="WEY29" s="240"/>
      <c r="WEZ29" s="239"/>
      <c r="WFA29" s="240"/>
      <c r="WFB29" s="239"/>
      <c r="WFC29" s="240"/>
      <c r="WFD29" s="239"/>
      <c r="WFE29" s="240"/>
      <c r="WFF29" s="239"/>
      <c r="WFG29" s="240"/>
      <c r="WFH29" s="239"/>
      <c r="WFI29" s="240"/>
      <c r="WFJ29" s="239"/>
      <c r="WFK29" s="240"/>
      <c r="WFL29" s="239"/>
      <c r="WFM29" s="240"/>
      <c r="WFN29" s="239"/>
      <c r="WFO29" s="240"/>
      <c r="WFP29" s="239"/>
      <c r="WFQ29" s="240"/>
      <c r="WFR29" s="239"/>
      <c r="WFS29" s="240"/>
      <c r="WFT29" s="239"/>
      <c r="WFU29" s="240"/>
      <c r="WFV29" s="239"/>
      <c r="WFW29" s="240"/>
      <c r="WFX29" s="239"/>
      <c r="WFY29" s="240"/>
      <c r="WFZ29" s="239"/>
      <c r="WGA29" s="240"/>
      <c r="WGB29" s="239"/>
      <c r="WGC29" s="240"/>
      <c r="WGD29" s="239"/>
      <c r="WGE29" s="240"/>
      <c r="WGF29" s="239"/>
      <c r="WGG29" s="240"/>
      <c r="WGH29" s="239"/>
      <c r="WGI29" s="240"/>
      <c r="WGJ29" s="239"/>
      <c r="WGK29" s="240"/>
      <c r="WGL29" s="239"/>
      <c r="WGM29" s="240"/>
      <c r="WGN29" s="239"/>
      <c r="WGO29" s="240"/>
      <c r="WGP29" s="239"/>
      <c r="WGQ29" s="240"/>
      <c r="WGR29" s="239"/>
      <c r="WGS29" s="240"/>
      <c r="WGT29" s="239"/>
      <c r="WGU29" s="240"/>
      <c r="WGV29" s="239"/>
      <c r="WGW29" s="240"/>
      <c r="WGX29" s="239"/>
      <c r="WGY29" s="240"/>
      <c r="WGZ29" s="239"/>
      <c r="WHA29" s="240"/>
      <c r="WHB29" s="239"/>
      <c r="WHC29" s="240"/>
      <c r="WHD29" s="239"/>
      <c r="WHE29" s="240"/>
      <c r="WHF29" s="239"/>
      <c r="WHG29" s="240"/>
      <c r="WHH29" s="239"/>
      <c r="WHI29" s="240"/>
      <c r="WHJ29" s="239"/>
      <c r="WHK29" s="240"/>
      <c r="WHL29" s="239"/>
      <c r="WHM29" s="240"/>
      <c r="WHN29" s="239"/>
      <c r="WHO29" s="240"/>
      <c r="WHP29" s="239"/>
      <c r="WHQ29" s="240"/>
      <c r="WHR29" s="239"/>
      <c r="WHS29" s="240"/>
      <c r="WHT29" s="239"/>
      <c r="WHU29" s="240"/>
      <c r="WHV29" s="239"/>
      <c r="WHW29" s="240"/>
      <c r="WHX29" s="239"/>
      <c r="WHY29" s="240"/>
      <c r="WHZ29" s="239"/>
      <c r="WIA29" s="240"/>
      <c r="WIB29" s="239"/>
      <c r="WIC29" s="240"/>
      <c r="WID29" s="239"/>
      <c r="WIE29" s="240"/>
      <c r="WIF29" s="239"/>
      <c r="WIG29" s="240"/>
      <c r="WIH29" s="239"/>
      <c r="WII29" s="240"/>
      <c r="WIJ29" s="239"/>
      <c r="WIK29" s="240"/>
      <c r="WIL29" s="239"/>
      <c r="WIM29" s="240"/>
      <c r="WIN29" s="239"/>
      <c r="WIO29" s="240"/>
      <c r="WIP29" s="239"/>
      <c r="WIQ29" s="240"/>
      <c r="WIR29" s="239"/>
      <c r="WIS29" s="240"/>
      <c r="WIT29" s="239"/>
      <c r="WIU29" s="240"/>
      <c r="WIV29" s="239"/>
      <c r="WIW29" s="240"/>
      <c r="WIX29" s="239"/>
      <c r="WIY29" s="240"/>
      <c r="WIZ29" s="239"/>
      <c r="WJA29" s="240"/>
      <c r="WJB29" s="239"/>
      <c r="WJC29" s="240"/>
      <c r="WJD29" s="239"/>
      <c r="WJE29" s="240"/>
      <c r="WJF29" s="239"/>
      <c r="WJG29" s="240"/>
      <c r="WJH29" s="239"/>
      <c r="WJI29" s="240"/>
      <c r="WJJ29" s="239"/>
      <c r="WJK29" s="240"/>
      <c r="WJL29" s="239"/>
      <c r="WJM29" s="240"/>
      <c r="WJN29" s="239"/>
      <c r="WJO29" s="240"/>
      <c r="WJP29" s="239"/>
      <c r="WJQ29" s="240"/>
      <c r="WJR29" s="239"/>
      <c r="WJS29" s="240"/>
      <c r="WJT29" s="239"/>
      <c r="WJU29" s="240"/>
      <c r="WJV29" s="239"/>
      <c r="WJW29" s="240"/>
      <c r="WJX29" s="239"/>
      <c r="WJY29" s="240"/>
      <c r="WJZ29" s="239"/>
      <c r="WKA29" s="240"/>
      <c r="WKB29" s="239"/>
      <c r="WKC29" s="240"/>
      <c r="WKD29" s="239"/>
      <c r="WKE29" s="240"/>
      <c r="WKF29" s="239"/>
      <c r="WKG29" s="240"/>
      <c r="WKH29" s="239"/>
      <c r="WKI29" s="240"/>
      <c r="WKJ29" s="239"/>
      <c r="WKK29" s="240"/>
      <c r="WKL29" s="239"/>
      <c r="WKM29" s="240"/>
      <c r="WKN29" s="239"/>
      <c r="WKO29" s="240"/>
      <c r="WKP29" s="239"/>
      <c r="WKQ29" s="240"/>
      <c r="WKR29" s="239"/>
      <c r="WKS29" s="240"/>
      <c r="WKT29" s="239"/>
      <c r="WKU29" s="240"/>
      <c r="WKV29" s="239"/>
      <c r="WKW29" s="240"/>
      <c r="WKX29" s="239"/>
      <c r="WKY29" s="240"/>
      <c r="WKZ29" s="239"/>
      <c r="WLA29" s="240"/>
      <c r="WLB29" s="239"/>
      <c r="WLC29" s="240"/>
      <c r="WLD29" s="239"/>
      <c r="WLE29" s="240"/>
      <c r="WLF29" s="239"/>
      <c r="WLG29" s="240"/>
      <c r="WLH29" s="239"/>
      <c r="WLI29" s="240"/>
      <c r="WLJ29" s="239"/>
      <c r="WLK29" s="240"/>
      <c r="WLL29" s="239"/>
      <c r="WLM29" s="240"/>
      <c r="WLN29" s="239"/>
      <c r="WLO29" s="240"/>
      <c r="WLP29" s="239"/>
      <c r="WLQ29" s="240"/>
      <c r="WLR29" s="239"/>
      <c r="WLS29" s="240"/>
      <c r="WLT29" s="239"/>
      <c r="WLU29" s="240"/>
      <c r="WLV29" s="239"/>
      <c r="WLW29" s="240"/>
      <c r="WLX29" s="239"/>
      <c r="WLY29" s="240"/>
      <c r="WLZ29" s="239"/>
      <c r="WMA29" s="240"/>
      <c r="WMB29" s="239"/>
      <c r="WMC29" s="240"/>
      <c r="WMD29" s="239"/>
      <c r="WME29" s="240"/>
      <c r="WMF29" s="239"/>
      <c r="WMG29" s="240"/>
      <c r="WMH29" s="239"/>
      <c r="WMI29" s="240"/>
      <c r="WMJ29" s="239"/>
      <c r="WMK29" s="240"/>
      <c r="WML29" s="239"/>
      <c r="WMM29" s="240"/>
      <c r="WMN29" s="239"/>
      <c r="WMO29" s="240"/>
      <c r="WMP29" s="239"/>
      <c r="WMQ29" s="240"/>
      <c r="WMR29" s="239"/>
      <c r="WMS29" s="240"/>
      <c r="WMT29" s="239"/>
      <c r="WMU29" s="240"/>
      <c r="WMV29" s="239"/>
      <c r="WMW29" s="240"/>
      <c r="WMX29" s="239"/>
      <c r="WMY29" s="240"/>
      <c r="WMZ29" s="239"/>
      <c r="WNA29" s="240"/>
      <c r="WNB29" s="239"/>
      <c r="WNC29" s="240"/>
      <c r="WND29" s="239"/>
      <c r="WNE29" s="240"/>
      <c r="WNF29" s="239"/>
      <c r="WNG29" s="240"/>
      <c r="WNH29" s="239"/>
      <c r="WNI29" s="240"/>
      <c r="WNJ29" s="239"/>
      <c r="WNK29" s="240"/>
      <c r="WNL29" s="239"/>
      <c r="WNM29" s="240"/>
      <c r="WNN29" s="239"/>
      <c r="WNO29" s="240"/>
      <c r="WNP29" s="239"/>
      <c r="WNQ29" s="240"/>
      <c r="WNR29" s="239"/>
      <c r="WNS29" s="240"/>
      <c r="WNT29" s="239"/>
      <c r="WNU29" s="240"/>
      <c r="WNV29" s="239"/>
      <c r="WNW29" s="240"/>
      <c r="WNX29" s="239"/>
      <c r="WNY29" s="240"/>
      <c r="WNZ29" s="239"/>
      <c r="WOA29" s="240"/>
      <c r="WOB29" s="239"/>
      <c r="WOC29" s="240"/>
      <c r="WOD29" s="239"/>
      <c r="WOE29" s="240"/>
      <c r="WOF29" s="239"/>
      <c r="WOG29" s="240"/>
      <c r="WOH29" s="239"/>
      <c r="WOI29" s="240"/>
      <c r="WOJ29" s="239"/>
      <c r="WOK29" s="240"/>
      <c r="WOL29" s="239"/>
      <c r="WOM29" s="240"/>
      <c r="WON29" s="239"/>
      <c r="WOO29" s="240"/>
      <c r="WOP29" s="239"/>
      <c r="WOQ29" s="240"/>
      <c r="WOR29" s="239"/>
      <c r="WOS29" s="240"/>
      <c r="WOT29" s="239"/>
      <c r="WOU29" s="240"/>
      <c r="WOV29" s="239"/>
      <c r="WOW29" s="240"/>
      <c r="WOX29" s="239"/>
      <c r="WOY29" s="240"/>
      <c r="WOZ29" s="239"/>
      <c r="WPA29" s="240"/>
      <c r="WPB29" s="239"/>
      <c r="WPC29" s="240"/>
      <c r="WPD29" s="239"/>
      <c r="WPE29" s="240"/>
      <c r="WPF29" s="239"/>
      <c r="WPG29" s="240"/>
      <c r="WPH29" s="239"/>
      <c r="WPI29" s="240"/>
      <c r="WPJ29" s="239"/>
      <c r="WPK29" s="240"/>
      <c r="WPL29" s="239"/>
      <c r="WPM29" s="240"/>
      <c r="WPN29" s="239"/>
      <c r="WPO29" s="240"/>
      <c r="WPP29" s="239"/>
      <c r="WPQ29" s="240"/>
      <c r="WPR29" s="239"/>
      <c r="WPS29" s="240"/>
      <c r="WPT29" s="239"/>
      <c r="WPU29" s="240"/>
      <c r="WPV29" s="239"/>
      <c r="WPW29" s="240"/>
      <c r="WPX29" s="239"/>
      <c r="WPY29" s="240"/>
      <c r="WPZ29" s="239"/>
      <c r="WQA29" s="240"/>
      <c r="WQB29" s="239"/>
      <c r="WQC29" s="240"/>
      <c r="WQD29" s="239"/>
      <c r="WQE29" s="240"/>
      <c r="WQF29" s="239"/>
      <c r="WQG29" s="240"/>
      <c r="WQH29" s="239"/>
      <c r="WQI29" s="240"/>
      <c r="WQJ29" s="239"/>
      <c r="WQK29" s="240"/>
      <c r="WQL29" s="239"/>
      <c r="WQM29" s="240"/>
      <c r="WQN29" s="239"/>
      <c r="WQO29" s="240"/>
      <c r="WQP29" s="239"/>
      <c r="WQQ29" s="240"/>
      <c r="WQR29" s="239"/>
      <c r="WQS29" s="240"/>
      <c r="WQT29" s="239"/>
      <c r="WQU29" s="240"/>
      <c r="WQV29" s="239"/>
      <c r="WQW29" s="240"/>
      <c r="WQX29" s="239"/>
      <c r="WQY29" s="240"/>
      <c r="WQZ29" s="239"/>
      <c r="WRA29" s="240"/>
      <c r="WRB29" s="239"/>
      <c r="WRC29" s="240"/>
      <c r="WRD29" s="239"/>
      <c r="WRE29" s="240"/>
      <c r="WRF29" s="239"/>
      <c r="WRG29" s="240"/>
      <c r="WRH29" s="239"/>
      <c r="WRI29" s="240"/>
      <c r="WRJ29" s="239"/>
      <c r="WRK29" s="240"/>
      <c r="WRL29" s="239"/>
      <c r="WRM29" s="240"/>
      <c r="WRN29" s="239"/>
      <c r="WRO29" s="240"/>
      <c r="WRP29" s="239"/>
      <c r="WRQ29" s="240"/>
      <c r="WRR29" s="239"/>
      <c r="WRS29" s="240"/>
      <c r="WRT29" s="239"/>
      <c r="WRU29" s="240"/>
      <c r="WRV29" s="239"/>
      <c r="WRW29" s="240"/>
      <c r="WRX29" s="239"/>
      <c r="WRY29" s="240"/>
      <c r="WRZ29" s="239"/>
      <c r="WSA29" s="240"/>
      <c r="WSB29" s="239"/>
      <c r="WSC29" s="240"/>
      <c r="WSD29" s="239"/>
      <c r="WSE29" s="240"/>
      <c r="WSF29" s="239"/>
      <c r="WSG29" s="240"/>
      <c r="WSH29" s="239"/>
      <c r="WSI29" s="240"/>
      <c r="WSJ29" s="239"/>
      <c r="WSK29" s="240"/>
      <c r="WSL29" s="239"/>
      <c r="WSM29" s="240"/>
      <c r="WSN29" s="239"/>
      <c r="WSO29" s="240"/>
      <c r="WSP29" s="239"/>
      <c r="WSQ29" s="240"/>
      <c r="WSR29" s="239"/>
      <c r="WSS29" s="240"/>
      <c r="WST29" s="239"/>
      <c r="WSU29" s="240"/>
      <c r="WSV29" s="239"/>
      <c r="WSW29" s="240"/>
      <c r="WSX29" s="239"/>
      <c r="WSY29" s="240"/>
      <c r="WSZ29" s="239"/>
      <c r="WTA29" s="240"/>
      <c r="WTB29" s="239"/>
      <c r="WTC29" s="240"/>
      <c r="WTD29" s="239"/>
      <c r="WTE29" s="240"/>
      <c r="WTF29" s="239"/>
      <c r="WTG29" s="240"/>
      <c r="WTH29" s="239"/>
      <c r="WTI29" s="240"/>
      <c r="WTJ29" s="239"/>
      <c r="WTK29" s="240"/>
      <c r="WTL29" s="239"/>
      <c r="WTM29" s="240"/>
      <c r="WTN29" s="239"/>
      <c r="WTO29" s="240"/>
      <c r="WTP29" s="239"/>
      <c r="WTQ29" s="240"/>
      <c r="WTR29" s="239"/>
      <c r="WTS29" s="240"/>
      <c r="WTT29" s="239"/>
      <c r="WTU29" s="240"/>
      <c r="WTV29" s="239"/>
      <c r="WTW29" s="240"/>
      <c r="WTX29" s="239"/>
      <c r="WTY29" s="240"/>
      <c r="WTZ29" s="239"/>
      <c r="WUA29" s="240"/>
      <c r="WUB29" s="239"/>
      <c r="WUC29" s="240"/>
      <c r="WUD29" s="239"/>
      <c r="WUE29" s="240"/>
      <c r="WUF29" s="239"/>
      <c r="WUG29" s="240"/>
      <c r="WUH29" s="239"/>
      <c r="WUI29" s="240"/>
      <c r="WUJ29" s="239"/>
      <c r="WUK29" s="240"/>
      <c r="WUL29" s="239"/>
      <c r="WUM29" s="240"/>
      <c r="WUN29" s="239"/>
      <c r="WUO29" s="240"/>
      <c r="WUP29" s="239"/>
      <c r="WUQ29" s="240"/>
      <c r="WUR29" s="239"/>
      <c r="WUS29" s="240"/>
      <c r="WUT29" s="239"/>
      <c r="WUU29" s="240"/>
      <c r="WUV29" s="239"/>
      <c r="WUW29" s="240"/>
      <c r="WUX29" s="239"/>
      <c r="WUY29" s="240"/>
      <c r="WUZ29" s="239"/>
      <c r="WVA29" s="240"/>
      <c r="WVB29" s="239"/>
      <c r="WVC29" s="240"/>
      <c r="WVD29" s="239"/>
      <c r="WVE29" s="240"/>
      <c r="WVF29" s="239"/>
      <c r="WVG29" s="240"/>
      <c r="WVH29" s="239"/>
      <c r="WVI29" s="240"/>
      <c r="WVJ29" s="239"/>
      <c r="WVK29" s="240"/>
      <c r="WVL29" s="239"/>
      <c r="WVM29" s="240"/>
      <c r="WVN29" s="239"/>
      <c r="WVO29" s="240"/>
      <c r="WVP29" s="239"/>
      <c r="WVQ29" s="240"/>
      <c r="WVR29" s="239"/>
      <c r="WVS29" s="240"/>
      <c r="WVT29" s="239"/>
      <c r="WVU29" s="240"/>
      <c r="WVV29" s="239"/>
      <c r="WVW29" s="240"/>
      <c r="WVX29" s="239"/>
      <c r="WVY29" s="240"/>
      <c r="WVZ29" s="239"/>
      <c r="WWA29" s="240"/>
      <c r="WWB29" s="239"/>
      <c r="WWC29" s="240"/>
      <c r="WWD29" s="239"/>
      <c r="WWE29" s="240"/>
      <c r="WWF29" s="239"/>
      <c r="WWG29" s="240"/>
      <c r="WWH29" s="239"/>
      <c r="WWI29" s="240"/>
      <c r="WWJ29" s="239"/>
      <c r="WWK29" s="240"/>
      <c r="WWL29" s="239"/>
      <c r="WWM29" s="240"/>
      <c r="WWN29" s="239"/>
      <c r="WWO29" s="240"/>
      <c r="WWP29" s="239"/>
      <c r="WWQ29" s="240"/>
      <c r="WWR29" s="239"/>
      <c r="WWS29" s="240"/>
      <c r="WWT29" s="239"/>
      <c r="WWU29" s="240"/>
      <c r="WWV29" s="239"/>
      <c r="WWW29" s="240"/>
      <c r="WWX29" s="239"/>
      <c r="WWY29" s="240"/>
      <c r="WWZ29" s="239"/>
      <c r="WXA29" s="240"/>
      <c r="WXB29" s="239"/>
      <c r="WXC29" s="240"/>
      <c r="WXD29" s="239"/>
      <c r="WXE29" s="240"/>
      <c r="WXF29" s="239"/>
      <c r="WXG29" s="240"/>
      <c r="WXH29" s="239"/>
      <c r="WXI29" s="240"/>
      <c r="WXJ29" s="239"/>
      <c r="WXK29" s="240"/>
      <c r="WXL29" s="239"/>
      <c r="WXM29" s="240"/>
      <c r="WXN29" s="239"/>
      <c r="WXO29" s="240"/>
      <c r="WXP29" s="239"/>
      <c r="WXQ29" s="240"/>
      <c r="WXR29" s="239"/>
      <c r="WXS29" s="240"/>
      <c r="WXT29" s="239"/>
      <c r="WXU29" s="240"/>
      <c r="WXV29" s="239"/>
      <c r="WXW29" s="240"/>
      <c r="WXX29" s="239"/>
      <c r="WXY29" s="240"/>
      <c r="WXZ29" s="239"/>
      <c r="WYA29" s="240"/>
      <c r="WYB29" s="239"/>
      <c r="WYC29" s="240"/>
      <c r="WYD29" s="239"/>
      <c r="WYE29" s="240"/>
      <c r="WYF29" s="239"/>
      <c r="WYG29" s="240"/>
      <c r="WYH29" s="239"/>
      <c r="WYI29" s="240"/>
      <c r="WYJ29" s="239"/>
      <c r="WYK29" s="240"/>
      <c r="WYL29" s="239"/>
      <c r="WYM29" s="240"/>
      <c r="WYN29" s="239"/>
      <c r="WYO29" s="240"/>
      <c r="WYP29" s="239"/>
      <c r="WYQ29" s="240"/>
      <c r="WYR29" s="239"/>
      <c r="WYS29" s="240"/>
      <c r="WYT29" s="239"/>
      <c r="WYU29" s="240"/>
      <c r="WYV29" s="239"/>
      <c r="WYW29" s="240"/>
      <c r="WYX29" s="239"/>
      <c r="WYY29" s="240"/>
      <c r="WYZ29" s="239"/>
      <c r="WZA29" s="240"/>
      <c r="WZB29" s="239"/>
      <c r="WZC29" s="240"/>
      <c r="WZD29" s="239"/>
      <c r="WZE29" s="240"/>
      <c r="WZF29" s="239"/>
      <c r="WZG29" s="240"/>
      <c r="WZH29" s="239"/>
      <c r="WZI29" s="240"/>
      <c r="WZJ29" s="239"/>
      <c r="WZK29" s="240"/>
      <c r="WZL29" s="239"/>
      <c r="WZM29" s="240"/>
      <c r="WZN29" s="239"/>
      <c r="WZO29" s="240"/>
      <c r="WZP29" s="239"/>
      <c r="WZQ29" s="240"/>
      <c r="WZR29" s="239"/>
      <c r="WZS29" s="240"/>
      <c r="WZT29" s="239"/>
      <c r="WZU29" s="240"/>
      <c r="WZV29" s="239"/>
      <c r="WZW29" s="240"/>
      <c r="WZX29" s="239"/>
      <c r="WZY29" s="240"/>
      <c r="WZZ29" s="239"/>
      <c r="XAA29" s="240"/>
      <c r="XAB29" s="239"/>
      <c r="XAC29" s="240"/>
      <c r="XAD29" s="239"/>
      <c r="XAE29" s="240"/>
      <c r="XAF29" s="239"/>
      <c r="XAG29" s="240"/>
      <c r="XAH29" s="239"/>
      <c r="XAI29" s="240"/>
      <c r="XAJ29" s="239"/>
      <c r="XAK29" s="240"/>
      <c r="XAL29" s="239"/>
      <c r="XAM29" s="240"/>
      <c r="XAN29" s="239"/>
      <c r="XAO29" s="240"/>
      <c r="XAP29" s="239"/>
      <c r="XAQ29" s="240"/>
      <c r="XAR29" s="239"/>
      <c r="XAS29" s="240"/>
      <c r="XAT29" s="239"/>
      <c r="XAU29" s="240"/>
      <c r="XAV29" s="239"/>
      <c r="XAW29" s="240"/>
      <c r="XAX29" s="239"/>
      <c r="XAY29" s="240"/>
      <c r="XAZ29" s="239"/>
      <c r="XBA29" s="240"/>
      <c r="XBB29" s="239"/>
      <c r="XBC29" s="240"/>
      <c r="XBD29" s="239"/>
      <c r="XBE29" s="240"/>
      <c r="XBF29" s="239"/>
      <c r="XBG29" s="240"/>
      <c r="XBH29" s="239"/>
      <c r="XBI29" s="240"/>
      <c r="XBJ29" s="239"/>
      <c r="XBK29" s="240"/>
      <c r="XBL29" s="239"/>
      <c r="XBM29" s="240"/>
      <c r="XBN29" s="239"/>
      <c r="XBO29" s="240"/>
      <c r="XBP29" s="239"/>
      <c r="XBQ29" s="240"/>
      <c r="XBR29" s="239"/>
      <c r="XBS29" s="240"/>
      <c r="XBT29" s="239"/>
      <c r="XBU29" s="240"/>
      <c r="XBV29" s="239"/>
      <c r="XBW29" s="240"/>
      <c r="XBX29" s="239"/>
      <c r="XBY29" s="240"/>
      <c r="XBZ29" s="239"/>
      <c r="XCA29" s="240"/>
      <c r="XCB29" s="239"/>
      <c r="XCC29" s="240"/>
      <c r="XCD29" s="239"/>
      <c r="XCE29" s="240"/>
      <c r="XCF29" s="239"/>
      <c r="XCG29" s="240"/>
      <c r="XCH29" s="239"/>
      <c r="XCI29" s="240"/>
      <c r="XCJ29" s="239"/>
      <c r="XCK29" s="240"/>
      <c r="XCL29" s="239"/>
      <c r="XCM29" s="240"/>
      <c r="XCN29" s="239"/>
      <c r="XCO29" s="240"/>
      <c r="XCP29" s="239"/>
      <c r="XCQ29" s="240"/>
      <c r="XCR29" s="239"/>
      <c r="XCS29" s="240"/>
      <c r="XCT29" s="239"/>
      <c r="XCU29" s="240"/>
      <c r="XCV29" s="239"/>
      <c r="XCW29" s="240"/>
      <c r="XCX29" s="239"/>
      <c r="XCY29" s="240"/>
      <c r="XCZ29" s="239"/>
      <c r="XDA29" s="240"/>
      <c r="XDB29" s="239"/>
      <c r="XDC29" s="240"/>
      <c r="XDD29" s="239"/>
      <c r="XDE29" s="240"/>
      <c r="XDF29" s="239"/>
      <c r="XDG29" s="240"/>
      <c r="XDH29" s="239"/>
      <c r="XDI29" s="240"/>
      <c r="XDJ29" s="239"/>
      <c r="XDK29" s="240"/>
      <c r="XDL29" s="239"/>
      <c r="XDM29" s="240"/>
      <c r="XDN29" s="239"/>
      <c r="XDO29" s="240"/>
      <c r="XDP29" s="239"/>
      <c r="XDQ29" s="240"/>
      <c r="XDR29" s="239"/>
      <c r="XDS29" s="240"/>
      <c r="XDT29" s="239"/>
      <c r="XDU29" s="240"/>
      <c r="XDV29" s="239"/>
      <c r="XDW29" s="240"/>
      <c r="XDX29" s="239"/>
      <c r="XDY29" s="240"/>
      <c r="XDZ29" s="239"/>
      <c r="XEA29" s="240"/>
      <c r="XEB29" s="239"/>
      <c r="XEC29" s="240"/>
      <c r="XED29" s="239"/>
      <c r="XEE29" s="240"/>
      <c r="XEF29" s="239"/>
      <c r="XEG29" s="240"/>
      <c r="XEH29" s="239"/>
      <c r="XEI29" s="240"/>
      <c r="XEJ29" s="239"/>
      <c r="XEK29" s="240"/>
      <c r="XEL29" s="239"/>
      <c r="XEM29" s="240"/>
      <c r="XEN29" s="239"/>
      <c r="XEO29" s="240"/>
      <c r="XEP29" s="239"/>
      <c r="XEQ29" s="240"/>
      <c r="XER29" s="239"/>
      <c r="XES29" s="240"/>
      <c r="XET29" s="239"/>
      <c r="XEU29" s="240"/>
      <c r="XEV29" s="239"/>
      <c r="XEW29" s="240"/>
      <c r="XEX29" s="239"/>
      <c r="XEY29" s="240"/>
      <c r="XEZ29" s="239"/>
      <c r="XFA29" s="240"/>
      <c r="XFB29" s="239"/>
      <c r="XFC29" s="240"/>
      <c r="XFD29" s="239"/>
    </row>
    <row r="30" hidden="1" spans="1:29">
      <c r="A30" s="208"/>
      <c r="B30" s="209"/>
      <c r="C30" s="210" t="s">
        <v>13</v>
      </c>
      <c r="D30" s="211">
        <f t="shared" si="1"/>
        <v>12949.1635099118</v>
      </c>
      <c r="E30" s="211"/>
      <c r="F30" s="211"/>
      <c r="G30" s="211"/>
      <c r="H30" s="211"/>
      <c r="I30" s="211"/>
      <c r="J30" s="227">
        <f>运维成本费用估算表!E40-J94</f>
        <v>574.295471231561</v>
      </c>
      <c r="K30" s="227">
        <f>运维成本费用估算表!F40-K94</f>
        <v>741.419308024014</v>
      </c>
      <c r="L30" s="227">
        <f>运维成本费用估算表!G40-L94</f>
        <v>1117.43324954374</v>
      </c>
      <c r="M30" s="227">
        <f>运维成本费用估算表!H40-M94</f>
        <v>1243.83362927273</v>
      </c>
      <c r="N30" s="227">
        <f>运维成本费用估算表!I40-N94</f>
        <v>1336.57485545455</v>
      </c>
      <c r="O30" s="227">
        <f>运维成本费用估算表!J40-O94</f>
        <v>1479.39634377455</v>
      </c>
      <c r="P30" s="227">
        <f>运维成本费用估算表!K40-P94</f>
        <v>1594.53162030086</v>
      </c>
      <c r="Q30" s="227">
        <f>运维成本费用估算表!L40-Q94</f>
        <v>1594.53162030086</v>
      </c>
      <c r="R30" s="227">
        <f>运维成本费用估算表!M40-R94</f>
        <v>1622.3539881554</v>
      </c>
      <c r="S30" s="227">
        <f>运维成本费用估算表!N40-S94</f>
        <v>1644.79342385352</v>
      </c>
      <c r="AA30" s="181"/>
      <c r="AB30" s="181"/>
      <c r="AC30" s="181"/>
    </row>
    <row r="31" hidden="1" spans="1:29">
      <c r="A31" s="192"/>
      <c r="B31" s="193"/>
      <c r="C31" s="196" t="s">
        <v>14</v>
      </c>
      <c r="D31" s="197">
        <f t="shared" si="1"/>
        <v>9618.44349204941</v>
      </c>
      <c r="E31" s="197"/>
      <c r="F31" s="197"/>
      <c r="G31" s="197"/>
      <c r="H31" s="197"/>
      <c r="I31" s="197"/>
      <c r="J31" s="228">
        <f>运维成本费用估算表!E41-J95</f>
        <v>488.590165878422</v>
      </c>
      <c r="K31" s="228">
        <f>运维成本费用估算表!F41-K95</f>
        <v>654.206613048233</v>
      </c>
      <c r="L31" s="228">
        <f>运维成本费用估算表!G41-L95</f>
        <v>853.94321650319</v>
      </c>
      <c r="M31" s="228">
        <f>运维成本费用估算表!H41-M95</f>
        <v>956.003797408945</v>
      </c>
      <c r="N31" s="228">
        <f>运维成本费用估算表!I41-N95</f>
        <v>1006.82778532451</v>
      </c>
      <c r="O31" s="228">
        <f>运维成本费用估算表!J41-O95</f>
        <v>1057.65177324007</v>
      </c>
      <c r="P31" s="228">
        <f>运维成本费用估算表!K41-P95</f>
        <v>1139.84771666004</v>
      </c>
      <c r="Q31" s="228">
        <f>运维成本费用估算表!L41-Q95</f>
        <v>1139.84771666004</v>
      </c>
      <c r="R31" s="228">
        <f>运维成本费用估算表!M41-R95</f>
        <v>1139.84771666004</v>
      </c>
      <c r="S31" s="228">
        <f>运维成本费用估算表!N41-S95</f>
        <v>1181.67699066591</v>
      </c>
      <c r="AA31" s="181"/>
      <c r="AB31" s="181"/>
      <c r="AC31" s="181"/>
    </row>
    <row r="32" hidden="1" spans="1:29">
      <c r="A32" s="192"/>
      <c r="B32" s="193"/>
      <c r="C32" s="196" t="s">
        <v>15</v>
      </c>
      <c r="D32" s="197">
        <f t="shared" si="1"/>
        <v>30429.8013403502</v>
      </c>
      <c r="E32" s="197"/>
      <c r="F32" s="197"/>
      <c r="G32" s="197"/>
      <c r="H32" s="197"/>
      <c r="I32" s="197"/>
      <c r="J32" s="228">
        <f>运维成本费用估算表!E42-J96</f>
        <v>1359.156082494</v>
      </c>
      <c r="K32" s="228">
        <f>运维成本费用估算表!F42-K96</f>
        <v>1806.00360843739</v>
      </c>
      <c r="L32" s="228">
        <f>运维成本费用估算表!G42-L96</f>
        <v>2622.49494040652</v>
      </c>
      <c r="M32" s="228">
        <f>运维成本费用估算表!H42-M96</f>
        <v>2990.58976055273</v>
      </c>
      <c r="N32" s="228">
        <f>运维成本费用估算表!I42-N96</f>
        <v>3201.33488427455</v>
      </c>
      <c r="O32" s="228">
        <f>运维成本费用估算表!J42-O96</f>
        <v>3412.08000799636</v>
      </c>
      <c r="P32" s="228">
        <f>运维成本费用估算表!K42-P96</f>
        <v>3725.35791846492</v>
      </c>
      <c r="Q32" s="228">
        <f>运维成本费用估算表!L42-Q96</f>
        <v>3725.35791846492</v>
      </c>
      <c r="R32" s="228">
        <f>运维成本费用估算表!M42-R96</f>
        <v>3725.35791846492</v>
      </c>
      <c r="S32" s="228">
        <f>运维成本费用估算表!N42-S96</f>
        <v>3862.06830079391</v>
      </c>
      <c r="AA32" s="181"/>
      <c r="AB32" s="181"/>
      <c r="AC32" s="181"/>
    </row>
    <row r="33" s="177" customFormat="1" spans="1:29">
      <c r="A33" s="192">
        <v>2.3</v>
      </c>
      <c r="B33" s="193" t="s">
        <v>345</v>
      </c>
      <c r="C33" s="194" t="s">
        <v>4</v>
      </c>
      <c r="D33" s="195">
        <f t="shared" si="1"/>
        <v>1129206.07477596</v>
      </c>
      <c r="E33" s="195"/>
      <c r="F33" s="195"/>
      <c r="G33" s="195"/>
      <c r="H33" s="195"/>
      <c r="I33" s="195"/>
      <c r="J33" s="195">
        <f t="shared" ref="J33:S33" si="15">SUM(J34:J36)</f>
        <v>112920.607477596</v>
      </c>
      <c r="K33" s="195">
        <f t="shared" si="15"/>
        <v>112920.607477596</v>
      </c>
      <c r="L33" s="195">
        <f t="shared" si="15"/>
        <v>112920.607477596</v>
      </c>
      <c r="M33" s="195">
        <f t="shared" si="15"/>
        <v>112920.607477596</v>
      </c>
      <c r="N33" s="195">
        <f t="shared" si="15"/>
        <v>112920.607477596</v>
      </c>
      <c r="O33" s="195">
        <f t="shared" si="15"/>
        <v>112920.607477596</v>
      </c>
      <c r="P33" s="195">
        <f t="shared" si="15"/>
        <v>112920.607477596</v>
      </c>
      <c r="Q33" s="195">
        <f t="shared" si="15"/>
        <v>112920.607477596</v>
      </c>
      <c r="R33" s="195">
        <f t="shared" si="15"/>
        <v>112920.607477596</v>
      </c>
      <c r="S33" s="195">
        <f t="shared" si="15"/>
        <v>112920.607477596</v>
      </c>
      <c r="T33" s="181"/>
      <c r="U33" s="181"/>
      <c r="V33" s="181"/>
      <c r="W33" s="181"/>
      <c r="X33" s="181"/>
      <c r="Y33" s="181"/>
      <c r="Z33" s="181"/>
      <c r="AA33" s="181"/>
      <c r="AB33" s="181"/>
      <c r="AC33" s="181"/>
    </row>
    <row r="34" hidden="1" spans="1:29">
      <c r="A34" s="192"/>
      <c r="B34" s="193"/>
      <c r="C34" s="196" t="s">
        <v>13</v>
      </c>
      <c r="D34" s="197">
        <f t="shared" si="1"/>
        <v>292868.197743705</v>
      </c>
      <c r="E34" s="197"/>
      <c r="F34" s="197"/>
      <c r="G34" s="197"/>
      <c r="H34" s="197"/>
      <c r="I34" s="197"/>
      <c r="J34" s="197">
        <f>(项目投资与资金筹措计划表!D9-D90)/10</f>
        <v>29286.8197743705</v>
      </c>
      <c r="K34" s="197">
        <f>$J$34</f>
        <v>29286.8197743705</v>
      </c>
      <c r="L34" s="197">
        <f t="shared" ref="L34:S34" si="16">$J$34</f>
        <v>29286.8197743705</v>
      </c>
      <c r="M34" s="197">
        <f t="shared" si="16"/>
        <v>29286.8197743705</v>
      </c>
      <c r="N34" s="197">
        <f t="shared" si="16"/>
        <v>29286.8197743705</v>
      </c>
      <c r="O34" s="197">
        <f t="shared" si="16"/>
        <v>29286.8197743705</v>
      </c>
      <c r="P34" s="197">
        <f t="shared" si="16"/>
        <v>29286.8197743705</v>
      </c>
      <c r="Q34" s="197">
        <f t="shared" si="16"/>
        <v>29286.8197743705</v>
      </c>
      <c r="R34" s="197">
        <f t="shared" si="16"/>
        <v>29286.8197743705</v>
      </c>
      <c r="S34" s="197">
        <f t="shared" si="16"/>
        <v>29286.8197743705</v>
      </c>
      <c r="AA34" s="181"/>
      <c r="AB34" s="181"/>
      <c r="AC34" s="181"/>
    </row>
    <row r="35" hidden="1" spans="1:29">
      <c r="A35" s="192"/>
      <c r="B35" s="193"/>
      <c r="C35" s="196" t="s">
        <v>14</v>
      </c>
      <c r="D35" s="197">
        <f t="shared" si="1"/>
        <v>226206.200229334</v>
      </c>
      <c r="E35" s="197"/>
      <c r="F35" s="197"/>
      <c r="G35" s="197"/>
      <c r="H35" s="212"/>
      <c r="I35" s="197"/>
      <c r="J35" s="197">
        <f>(项目投资与资金筹措计划表!D10-D91)/10</f>
        <v>22620.6200229334</v>
      </c>
      <c r="K35" s="197">
        <f t="shared" ref="K35:Q35" si="17">$J$35</f>
        <v>22620.6200229334</v>
      </c>
      <c r="L35" s="197">
        <f t="shared" si="17"/>
        <v>22620.6200229334</v>
      </c>
      <c r="M35" s="197">
        <f t="shared" si="17"/>
        <v>22620.6200229334</v>
      </c>
      <c r="N35" s="197">
        <f t="shared" si="17"/>
        <v>22620.6200229334</v>
      </c>
      <c r="O35" s="197">
        <f t="shared" si="17"/>
        <v>22620.6200229334</v>
      </c>
      <c r="P35" s="197">
        <f t="shared" si="17"/>
        <v>22620.6200229334</v>
      </c>
      <c r="Q35" s="197">
        <f t="shared" si="17"/>
        <v>22620.6200229334</v>
      </c>
      <c r="R35" s="197">
        <f t="shared" ref="R35:S35" si="18">$J$35</f>
        <v>22620.6200229334</v>
      </c>
      <c r="S35" s="197">
        <f t="shared" si="18"/>
        <v>22620.6200229334</v>
      </c>
      <c r="AA35" s="181"/>
      <c r="AB35" s="181"/>
      <c r="AC35" s="181"/>
    </row>
    <row r="36" hidden="1" spans="1:29">
      <c r="A36" s="192"/>
      <c r="B36" s="193"/>
      <c r="C36" s="196" t="s">
        <v>15</v>
      </c>
      <c r="D36" s="197">
        <f t="shared" si="1"/>
        <v>610131.676802916</v>
      </c>
      <c r="E36" s="197"/>
      <c r="F36" s="197"/>
      <c r="G36" s="197"/>
      <c r="H36" s="197"/>
      <c r="I36" s="197"/>
      <c r="J36" s="197">
        <f>(项目投资与资金筹措计划表!D11-D92)/10</f>
        <v>61013.1676802916</v>
      </c>
      <c r="K36" s="197">
        <f>$J$36</f>
        <v>61013.1676802916</v>
      </c>
      <c r="L36" s="197">
        <f t="shared" ref="L36:S36" si="19">$J$36</f>
        <v>61013.1676802916</v>
      </c>
      <c r="M36" s="197">
        <f t="shared" si="19"/>
        <v>61013.1676802916</v>
      </c>
      <c r="N36" s="197">
        <f t="shared" si="19"/>
        <v>61013.1676802916</v>
      </c>
      <c r="O36" s="197">
        <f t="shared" si="19"/>
        <v>61013.1676802916</v>
      </c>
      <c r="P36" s="197">
        <f t="shared" si="19"/>
        <v>61013.1676802916</v>
      </c>
      <c r="Q36" s="197">
        <f t="shared" si="19"/>
        <v>61013.1676802916</v>
      </c>
      <c r="R36" s="197">
        <f t="shared" si="19"/>
        <v>61013.1676802916</v>
      </c>
      <c r="S36" s="197">
        <f t="shared" si="19"/>
        <v>61013.1676802916</v>
      </c>
      <c r="AA36" s="181"/>
      <c r="AB36" s="181"/>
      <c r="AC36" s="181"/>
    </row>
    <row r="37" s="177" customFormat="1" ht="17.25" customHeight="1" spans="1:26">
      <c r="A37" s="192">
        <v>2.4</v>
      </c>
      <c r="B37" s="193" t="s">
        <v>346</v>
      </c>
      <c r="C37" s="194" t="s">
        <v>4</v>
      </c>
      <c r="D37" s="195">
        <f t="shared" si="1"/>
        <v>2059.82243372109</v>
      </c>
      <c r="E37" s="195">
        <f t="shared" ref="E37:M37" si="20">E109</f>
        <v>0</v>
      </c>
      <c r="F37" s="195">
        <f t="shared" si="20"/>
        <v>0</v>
      </c>
      <c r="G37" s="195">
        <f t="shared" si="20"/>
        <v>0</v>
      </c>
      <c r="H37" s="195">
        <f t="shared" si="20"/>
        <v>0</v>
      </c>
      <c r="I37" s="195">
        <f t="shared" si="20"/>
        <v>0</v>
      </c>
      <c r="J37" s="229">
        <f t="shared" si="20"/>
        <v>0</v>
      </c>
      <c r="K37" s="229">
        <f t="shared" si="20"/>
        <v>0</v>
      </c>
      <c r="L37" s="229">
        <f t="shared" si="20"/>
        <v>0</v>
      </c>
      <c r="M37" s="229">
        <f t="shared" si="20"/>
        <v>0</v>
      </c>
      <c r="N37" s="229">
        <f t="shared" ref="N37" si="21">N109</f>
        <v>0</v>
      </c>
      <c r="O37" s="229">
        <f t="shared" ref="O37:S37" si="22">O109</f>
        <v>0</v>
      </c>
      <c r="P37" s="229">
        <f t="shared" si="22"/>
        <v>0</v>
      </c>
      <c r="Q37" s="229">
        <f t="shared" si="22"/>
        <v>67.1535642906318</v>
      </c>
      <c r="R37" s="229">
        <f t="shared" si="22"/>
        <v>996.557918470278</v>
      </c>
      <c r="S37" s="229">
        <f t="shared" si="22"/>
        <v>996.110950960182</v>
      </c>
      <c r="T37" s="236"/>
      <c r="U37" s="236"/>
      <c r="V37" s="236"/>
      <c r="W37" s="236"/>
      <c r="X37" s="236"/>
      <c r="Y37" s="236"/>
      <c r="Z37" s="236"/>
    </row>
    <row r="38" ht="17.25" hidden="1" customHeight="1" spans="1:19">
      <c r="A38" s="192"/>
      <c r="B38" s="193"/>
      <c r="C38" s="196" t="s">
        <v>13</v>
      </c>
      <c r="D38" s="195">
        <f t="shared" si="1"/>
        <v>-309.371485911903</v>
      </c>
      <c r="E38" s="197">
        <f t="shared" ref="E38:M38" si="23">E110</f>
        <v>0</v>
      </c>
      <c r="F38" s="197">
        <f t="shared" si="23"/>
        <v>0</v>
      </c>
      <c r="G38" s="197">
        <f t="shared" si="23"/>
        <v>0</v>
      </c>
      <c r="H38" s="197">
        <f t="shared" si="23"/>
        <v>0</v>
      </c>
      <c r="I38" s="197">
        <f t="shared" si="23"/>
        <v>0</v>
      </c>
      <c r="J38" s="230">
        <f t="shared" si="23"/>
        <v>0</v>
      </c>
      <c r="K38" s="230">
        <f t="shared" si="23"/>
        <v>0</v>
      </c>
      <c r="L38" s="230">
        <f t="shared" si="23"/>
        <v>0</v>
      </c>
      <c r="M38" s="230">
        <f t="shared" si="23"/>
        <v>0</v>
      </c>
      <c r="N38" s="230">
        <f t="shared" ref="N38" si="24">N110</f>
        <v>0</v>
      </c>
      <c r="O38" s="230">
        <f t="shared" ref="O38:S38" si="25">O110</f>
        <v>0</v>
      </c>
      <c r="P38" s="230">
        <f t="shared" si="25"/>
        <v>0</v>
      </c>
      <c r="Q38" s="230">
        <f t="shared" si="25"/>
        <v>-344.877240616658</v>
      </c>
      <c r="R38" s="230">
        <f t="shared" si="25"/>
        <v>-103.123828637301</v>
      </c>
      <c r="S38" s="230">
        <f t="shared" si="25"/>
        <v>138.629583342056</v>
      </c>
    </row>
    <row r="39" ht="17.25" hidden="1" customHeight="1" spans="1:19">
      <c r="A39" s="192"/>
      <c r="B39" s="193"/>
      <c r="C39" s="196" t="s">
        <v>14</v>
      </c>
      <c r="D39" s="195">
        <f t="shared" si="1"/>
        <v>1250.11123927097</v>
      </c>
      <c r="E39" s="197">
        <f t="shared" ref="E39:M39" si="26">E111</f>
        <v>0</v>
      </c>
      <c r="F39" s="197">
        <f t="shared" si="26"/>
        <v>0</v>
      </c>
      <c r="G39" s="197">
        <f t="shared" si="26"/>
        <v>0</v>
      </c>
      <c r="H39" s="197">
        <f t="shared" si="26"/>
        <v>0</v>
      </c>
      <c r="I39" s="197">
        <f t="shared" si="26"/>
        <v>0</v>
      </c>
      <c r="J39" s="230">
        <f t="shared" si="26"/>
        <v>0</v>
      </c>
      <c r="K39" s="230">
        <f t="shared" si="26"/>
        <v>0</v>
      </c>
      <c r="L39" s="230">
        <f t="shared" si="26"/>
        <v>0</v>
      </c>
      <c r="M39" s="230">
        <f t="shared" si="26"/>
        <v>0</v>
      </c>
      <c r="N39" s="230">
        <f t="shared" ref="N39" si="27">N111</f>
        <v>0</v>
      </c>
      <c r="O39" s="230">
        <f t="shared" ref="O39:S39" si="28">O111</f>
        <v>0</v>
      </c>
      <c r="P39" s="230">
        <f t="shared" si="28"/>
        <v>0</v>
      </c>
      <c r="Q39" s="230">
        <f t="shared" si="28"/>
        <v>234.428930259369</v>
      </c>
      <c r="R39" s="230">
        <f t="shared" si="28"/>
        <v>416.730283215733</v>
      </c>
      <c r="S39" s="230">
        <f t="shared" si="28"/>
        <v>598.952025795868</v>
      </c>
    </row>
    <row r="40" ht="17.25" hidden="1" customHeight="1" spans="1:19">
      <c r="A40" s="199"/>
      <c r="B40" s="200"/>
      <c r="C40" s="201" t="s">
        <v>15</v>
      </c>
      <c r="D40" s="213">
        <f t="shared" si="1"/>
        <v>2067.20329513585</v>
      </c>
      <c r="E40" s="202">
        <f t="shared" ref="E40:M40" si="29">E112</f>
        <v>0</v>
      </c>
      <c r="F40" s="202">
        <f t="shared" si="29"/>
        <v>0</v>
      </c>
      <c r="G40" s="202">
        <f t="shared" si="29"/>
        <v>0</v>
      </c>
      <c r="H40" s="202">
        <f t="shared" si="29"/>
        <v>0</v>
      </c>
      <c r="I40" s="202">
        <f t="shared" si="29"/>
        <v>0</v>
      </c>
      <c r="J40" s="231">
        <f t="shared" si="29"/>
        <v>0</v>
      </c>
      <c r="K40" s="231">
        <f t="shared" si="29"/>
        <v>0</v>
      </c>
      <c r="L40" s="231">
        <f t="shared" si="29"/>
        <v>0</v>
      </c>
      <c r="M40" s="231">
        <f t="shared" si="29"/>
        <v>0</v>
      </c>
      <c r="N40" s="231">
        <f t="shared" ref="N40" si="30">N112</f>
        <v>0</v>
      </c>
      <c r="O40" s="231">
        <f t="shared" ref="O40:S40" si="31">O112</f>
        <v>0</v>
      </c>
      <c r="P40" s="231">
        <f t="shared" si="31"/>
        <v>0</v>
      </c>
      <c r="Q40" s="231">
        <f t="shared" si="31"/>
        <v>199.72114133037</v>
      </c>
      <c r="R40" s="231">
        <f t="shared" si="31"/>
        <v>689.177801659069</v>
      </c>
      <c r="S40" s="231">
        <f t="shared" si="31"/>
        <v>1178.30435214641</v>
      </c>
    </row>
    <row r="41" s="178" customFormat="1" spans="1:16384">
      <c r="A41" s="203">
        <v>3</v>
      </c>
      <c r="B41" s="204" t="s">
        <v>347</v>
      </c>
      <c r="C41" s="640" t="s">
        <v>4</v>
      </c>
      <c r="D41" s="206">
        <f t="shared" si="1"/>
        <v>56307.5716472054</v>
      </c>
      <c r="E41" s="206">
        <f>E5-E21</f>
        <v>361.13178218414</v>
      </c>
      <c r="F41" s="206">
        <f t="shared" ref="F41" si="32">F5-F21</f>
        <v>1035.48017733733</v>
      </c>
      <c r="G41" s="206">
        <f t="shared" ref="G41" si="33">G5-G21</f>
        <v>1661.91340327542</v>
      </c>
      <c r="H41" s="206">
        <f>SUM(H42:H44)</f>
        <v>2144.60112156823</v>
      </c>
      <c r="I41" s="206">
        <f t="shared" ref="I41:S41" si="34">SUM(I42:I44)</f>
        <v>2424.76769651142</v>
      </c>
      <c r="J41" s="206">
        <f t="shared" si="34"/>
        <v>-13026.4778254938</v>
      </c>
      <c r="K41" s="206">
        <f t="shared" si="34"/>
        <v>-9500.98429931823</v>
      </c>
      <c r="L41" s="206">
        <f t="shared" si="34"/>
        <v>-5759.73454913162</v>
      </c>
      <c r="M41" s="206">
        <f t="shared" si="34"/>
        <v>-1862.91347436768</v>
      </c>
      <c r="N41" s="206">
        <f t="shared" si="34"/>
        <v>2212.44124937439</v>
      </c>
      <c r="O41" s="206">
        <f t="shared" si="34"/>
        <v>6498.00768558576</v>
      </c>
      <c r="P41" s="206">
        <f t="shared" si="34"/>
        <v>10992.0884261418</v>
      </c>
      <c r="Q41" s="206">
        <f t="shared" si="34"/>
        <v>15608.9015694323</v>
      </c>
      <c r="R41" s="206">
        <f t="shared" si="34"/>
        <v>19624.5719738682</v>
      </c>
      <c r="S41" s="206">
        <f t="shared" si="34"/>
        <v>23893.7767102378</v>
      </c>
      <c r="T41" s="204"/>
      <c r="U41" s="205"/>
      <c r="V41" s="204"/>
      <c r="W41" s="205"/>
      <c r="X41" s="204"/>
      <c r="Y41" s="205"/>
      <c r="Z41" s="204"/>
      <c r="AA41" s="240"/>
      <c r="AB41" s="239"/>
      <c r="AC41" s="240"/>
      <c r="AD41" s="239"/>
      <c r="AE41" s="240"/>
      <c r="AF41" s="239"/>
      <c r="AG41" s="240"/>
      <c r="AH41" s="239"/>
      <c r="AI41" s="240"/>
      <c r="AJ41" s="239"/>
      <c r="AK41" s="240"/>
      <c r="AL41" s="239"/>
      <c r="AM41" s="240"/>
      <c r="AN41" s="239"/>
      <c r="AO41" s="240"/>
      <c r="AP41" s="239"/>
      <c r="AQ41" s="240"/>
      <c r="AR41" s="239"/>
      <c r="AS41" s="240"/>
      <c r="AT41" s="239"/>
      <c r="AU41" s="240"/>
      <c r="AV41" s="239"/>
      <c r="AW41" s="240"/>
      <c r="AX41" s="239"/>
      <c r="AY41" s="240"/>
      <c r="AZ41" s="239"/>
      <c r="BA41" s="240"/>
      <c r="BB41" s="239"/>
      <c r="BC41" s="240"/>
      <c r="BD41" s="239"/>
      <c r="BE41" s="240"/>
      <c r="BF41" s="239"/>
      <c r="BG41" s="240"/>
      <c r="BH41" s="239"/>
      <c r="BI41" s="240"/>
      <c r="BJ41" s="239"/>
      <c r="BK41" s="240"/>
      <c r="BL41" s="239"/>
      <c r="BM41" s="240"/>
      <c r="BN41" s="239"/>
      <c r="BO41" s="240"/>
      <c r="BP41" s="239"/>
      <c r="BQ41" s="240"/>
      <c r="BR41" s="239"/>
      <c r="BS41" s="240"/>
      <c r="BT41" s="239"/>
      <c r="BU41" s="240"/>
      <c r="BV41" s="239"/>
      <c r="BW41" s="240"/>
      <c r="BX41" s="239"/>
      <c r="BY41" s="240"/>
      <c r="BZ41" s="239"/>
      <c r="CA41" s="240"/>
      <c r="CB41" s="239"/>
      <c r="CC41" s="240"/>
      <c r="CD41" s="239"/>
      <c r="CE41" s="240"/>
      <c r="CF41" s="239"/>
      <c r="CG41" s="240"/>
      <c r="CH41" s="239"/>
      <c r="CI41" s="240"/>
      <c r="CJ41" s="239"/>
      <c r="CK41" s="240"/>
      <c r="CL41" s="239"/>
      <c r="CM41" s="240"/>
      <c r="CN41" s="239"/>
      <c r="CO41" s="240"/>
      <c r="CP41" s="239"/>
      <c r="CQ41" s="240"/>
      <c r="CR41" s="239"/>
      <c r="CS41" s="240"/>
      <c r="CT41" s="239"/>
      <c r="CU41" s="240"/>
      <c r="CV41" s="239"/>
      <c r="CW41" s="240"/>
      <c r="CX41" s="239"/>
      <c r="CY41" s="240"/>
      <c r="CZ41" s="239"/>
      <c r="DA41" s="240"/>
      <c r="DB41" s="239"/>
      <c r="DC41" s="240"/>
      <c r="DD41" s="239"/>
      <c r="DE41" s="240"/>
      <c r="DF41" s="239"/>
      <c r="DG41" s="240"/>
      <c r="DH41" s="239"/>
      <c r="DI41" s="240"/>
      <c r="DJ41" s="239"/>
      <c r="DK41" s="240"/>
      <c r="DL41" s="239"/>
      <c r="DM41" s="240"/>
      <c r="DN41" s="239"/>
      <c r="DO41" s="240"/>
      <c r="DP41" s="239"/>
      <c r="DQ41" s="240"/>
      <c r="DR41" s="239"/>
      <c r="DS41" s="240"/>
      <c r="DT41" s="239"/>
      <c r="DU41" s="240"/>
      <c r="DV41" s="239"/>
      <c r="DW41" s="240"/>
      <c r="DX41" s="239"/>
      <c r="DY41" s="240"/>
      <c r="DZ41" s="239"/>
      <c r="EA41" s="240"/>
      <c r="EB41" s="239"/>
      <c r="EC41" s="240"/>
      <c r="ED41" s="239"/>
      <c r="EE41" s="240"/>
      <c r="EF41" s="239"/>
      <c r="EG41" s="240"/>
      <c r="EH41" s="239"/>
      <c r="EI41" s="240"/>
      <c r="EJ41" s="239"/>
      <c r="EK41" s="240"/>
      <c r="EL41" s="239"/>
      <c r="EM41" s="240"/>
      <c r="EN41" s="239"/>
      <c r="EO41" s="240"/>
      <c r="EP41" s="239"/>
      <c r="EQ41" s="240"/>
      <c r="ER41" s="239"/>
      <c r="ES41" s="240"/>
      <c r="ET41" s="239"/>
      <c r="EU41" s="240"/>
      <c r="EV41" s="239"/>
      <c r="EW41" s="240"/>
      <c r="EX41" s="239"/>
      <c r="EY41" s="240"/>
      <c r="EZ41" s="239"/>
      <c r="FA41" s="240"/>
      <c r="FB41" s="239"/>
      <c r="FC41" s="240"/>
      <c r="FD41" s="239"/>
      <c r="FE41" s="240"/>
      <c r="FF41" s="239"/>
      <c r="FG41" s="240"/>
      <c r="FH41" s="239"/>
      <c r="FI41" s="240"/>
      <c r="FJ41" s="239"/>
      <c r="FK41" s="240"/>
      <c r="FL41" s="239"/>
      <c r="FM41" s="240"/>
      <c r="FN41" s="239"/>
      <c r="FO41" s="240"/>
      <c r="FP41" s="239"/>
      <c r="FQ41" s="240"/>
      <c r="FR41" s="239"/>
      <c r="FS41" s="240"/>
      <c r="FT41" s="239"/>
      <c r="FU41" s="240"/>
      <c r="FV41" s="239"/>
      <c r="FW41" s="240"/>
      <c r="FX41" s="239"/>
      <c r="FY41" s="240"/>
      <c r="FZ41" s="239"/>
      <c r="GA41" s="240"/>
      <c r="GB41" s="239"/>
      <c r="GC41" s="240"/>
      <c r="GD41" s="239"/>
      <c r="GE41" s="240"/>
      <c r="GF41" s="239"/>
      <c r="GG41" s="240"/>
      <c r="GH41" s="239"/>
      <c r="GI41" s="240"/>
      <c r="GJ41" s="239"/>
      <c r="GK41" s="240"/>
      <c r="GL41" s="239"/>
      <c r="GM41" s="240"/>
      <c r="GN41" s="239"/>
      <c r="GO41" s="240"/>
      <c r="GP41" s="239"/>
      <c r="GQ41" s="240"/>
      <c r="GR41" s="239"/>
      <c r="GS41" s="240"/>
      <c r="GT41" s="239"/>
      <c r="GU41" s="240"/>
      <c r="GV41" s="239"/>
      <c r="GW41" s="240"/>
      <c r="GX41" s="239"/>
      <c r="GY41" s="240"/>
      <c r="GZ41" s="239"/>
      <c r="HA41" s="240"/>
      <c r="HB41" s="239"/>
      <c r="HC41" s="240"/>
      <c r="HD41" s="239"/>
      <c r="HE41" s="240"/>
      <c r="HF41" s="239"/>
      <c r="HG41" s="240"/>
      <c r="HH41" s="239"/>
      <c r="HI41" s="240"/>
      <c r="HJ41" s="239"/>
      <c r="HK41" s="240"/>
      <c r="HL41" s="239"/>
      <c r="HM41" s="240"/>
      <c r="HN41" s="239"/>
      <c r="HO41" s="240"/>
      <c r="HP41" s="239"/>
      <c r="HQ41" s="240"/>
      <c r="HR41" s="239"/>
      <c r="HS41" s="240"/>
      <c r="HT41" s="239"/>
      <c r="HU41" s="240"/>
      <c r="HV41" s="239"/>
      <c r="HW41" s="240"/>
      <c r="HX41" s="239"/>
      <c r="HY41" s="240"/>
      <c r="HZ41" s="239"/>
      <c r="IA41" s="240"/>
      <c r="IB41" s="239"/>
      <c r="IC41" s="240"/>
      <c r="ID41" s="239"/>
      <c r="IE41" s="240"/>
      <c r="IF41" s="239"/>
      <c r="IG41" s="240"/>
      <c r="IH41" s="239"/>
      <c r="II41" s="240"/>
      <c r="IJ41" s="239"/>
      <c r="IK41" s="240"/>
      <c r="IL41" s="239"/>
      <c r="IM41" s="240"/>
      <c r="IN41" s="239"/>
      <c r="IO41" s="240"/>
      <c r="IP41" s="239"/>
      <c r="IQ41" s="240"/>
      <c r="IR41" s="239"/>
      <c r="IS41" s="240"/>
      <c r="IT41" s="239"/>
      <c r="IU41" s="240"/>
      <c r="IV41" s="239"/>
      <c r="IW41" s="240"/>
      <c r="IX41" s="239"/>
      <c r="IY41" s="240"/>
      <c r="IZ41" s="239"/>
      <c r="JA41" s="240"/>
      <c r="JB41" s="239"/>
      <c r="JC41" s="240"/>
      <c r="JD41" s="239"/>
      <c r="JE41" s="240"/>
      <c r="JF41" s="239"/>
      <c r="JG41" s="240"/>
      <c r="JH41" s="239"/>
      <c r="JI41" s="240"/>
      <c r="JJ41" s="239"/>
      <c r="JK41" s="240"/>
      <c r="JL41" s="239"/>
      <c r="JM41" s="240"/>
      <c r="JN41" s="239"/>
      <c r="JO41" s="240"/>
      <c r="JP41" s="239"/>
      <c r="JQ41" s="240"/>
      <c r="JR41" s="239"/>
      <c r="JS41" s="240"/>
      <c r="JT41" s="239"/>
      <c r="JU41" s="240"/>
      <c r="JV41" s="239"/>
      <c r="JW41" s="240"/>
      <c r="JX41" s="239"/>
      <c r="JY41" s="240"/>
      <c r="JZ41" s="239"/>
      <c r="KA41" s="240"/>
      <c r="KB41" s="239"/>
      <c r="KC41" s="240"/>
      <c r="KD41" s="239"/>
      <c r="KE41" s="240"/>
      <c r="KF41" s="239"/>
      <c r="KG41" s="240"/>
      <c r="KH41" s="239"/>
      <c r="KI41" s="240"/>
      <c r="KJ41" s="239"/>
      <c r="KK41" s="240"/>
      <c r="KL41" s="239"/>
      <c r="KM41" s="240"/>
      <c r="KN41" s="239"/>
      <c r="KO41" s="240"/>
      <c r="KP41" s="239"/>
      <c r="KQ41" s="240"/>
      <c r="KR41" s="239"/>
      <c r="KS41" s="240"/>
      <c r="KT41" s="239"/>
      <c r="KU41" s="240"/>
      <c r="KV41" s="239"/>
      <c r="KW41" s="240"/>
      <c r="KX41" s="239"/>
      <c r="KY41" s="240"/>
      <c r="KZ41" s="239"/>
      <c r="LA41" s="240"/>
      <c r="LB41" s="239"/>
      <c r="LC41" s="240"/>
      <c r="LD41" s="239"/>
      <c r="LE41" s="240"/>
      <c r="LF41" s="239"/>
      <c r="LG41" s="240"/>
      <c r="LH41" s="239"/>
      <c r="LI41" s="240"/>
      <c r="LJ41" s="239"/>
      <c r="LK41" s="240"/>
      <c r="LL41" s="239"/>
      <c r="LM41" s="240"/>
      <c r="LN41" s="239"/>
      <c r="LO41" s="240"/>
      <c r="LP41" s="239"/>
      <c r="LQ41" s="240"/>
      <c r="LR41" s="239"/>
      <c r="LS41" s="240"/>
      <c r="LT41" s="239"/>
      <c r="LU41" s="240"/>
      <c r="LV41" s="239"/>
      <c r="LW41" s="240"/>
      <c r="LX41" s="239"/>
      <c r="LY41" s="240"/>
      <c r="LZ41" s="239"/>
      <c r="MA41" s="240"/>
      <c r="MB41" s="239"/>
      <c r="MC41" s="240"/>
      <c r="MD41" s="239"/>
      <c r="ME41" s="240"/>
      <c r="MF41" s="239"/>
      <c r="MG41" s="240"/>
      <c r="MH41" s="239"/>
      <c r="MI41" s="240"/>
      <c r="MJ41" s="239"/>
      <c r="MK41" s="240"/>
      <c r="ML41" s="239"/>
      <c r="MM41" s="240"/>
      <c r="MN41" s="239"/>
      <c r="MO41" s="240"/>
      <c r="MP41" s="239"/>
      <c r="MQ41" s="240"/>
      <c r="MR41" s="239"/>
      <c r="MS41" s="240"/>
      <c r="MT41" s="239"/>
      <c r="MU41" s="240"/>
      <c r="MV41" s="239"/>
      <c r="MW41" s="240"/>
      <c r="MX41" s="239"/>
      <c r="MY41" s="240"/>
      <c r="MZ41" s="239"/>
      <c r="NA41" s="240"/>
      <c r="NB41" s="239"/>
      <c r="NC41" s="240"/>
      <c r="ND41" s="239"/>
      <c r="NE41" s="240"/>
      <c r="NF41" s="239"/>
      <c r="NG41" s="240"/>
      <c r="NH41" s="239"/>
      <c r="NI41" s="240"/>
      <c r="NJ41" s="239"/>
      <c r="NK41" s="240"/>
      <c r="NL41" s="239"/>
      <c r="NM41" s="240"/>
      <c r="NN41" s="239"/>
      <c r="NO41" s="240"/>
      <c r="NP41" s="239"/>
      <c r="NQ41" s="240"/>
      <c r="NR41" s="239"/>
      <c r="NS41" s="240"/>
      <c r="NT41" s="239"/>
      <c r="NU41" s="240"/>
      <c r="NV41" s="239"/>
      <c r="NW41" s="240"/>
      <c r="NX41" s="239"/>
      <c r="NY41" s="240"/>
      <c r="NZ41" s="239"/>
      <c r="OA41" s="240"/>
      <c r="OB41" s="239"/>
      <c r="OC41" s="240"/>
      <c r="OD41" s="239"/>
      <c r="OE41" s="240"/>
      <c r="OF41" s="239"/>
      <c r="OG41" s="240"/>
      <c r="OH41" s="239"/>
      <c r="OI41" s="240"/>
      <c r="OJ41" s="239"/>
      <c r="OK41" s="240"/>
      <c r="OL41" s="239"/>
      <c r="OM41" s="240"/>
      <c r="ON41" s="239"/>
      <c r="OO41" s="240"/>
      <c r="OP41" s="239"/>
      <c r="OQ41" s="240"/>
      <c r="OR41" s="239"/>
      <c r="OS41" s="240"/>
      <c r="OT41" s="239"/>
      <c r="OU41" s="240"/>
      <c r="OV41" s="239"/>
      <c r="OW41" s="240"/>
      <c r="OX41" s="239"/>
      <c r="OY41" s="240"/>
      <c r="OZ41" s="239"/>
      <c r="PA41" s="240"/>
      <c r="PB41" s="239"/>
      <c r="PC41" s="240"/>
      <c r="PD41" s="239"/>
      <c r="PE41" s="240"/>
      <c r="PF41" s="239"/>
      <c r="PG41" s="240"/>
      <c r="PH41" s="239"/>
      <c r="PI41" s="240"/>
      <c r="PJ41" s="239"/>
      <c r="PK41" s="240"/>
      <c r="PL41" s="239"/>
      <c r="PM41" s="240"/>
      <c r="PN41" s="239"/>
      <c r="PO41" s="240"/>
      <c r="PP41" s="239"/>
      <c r="PQ41" s="240"/>
      <c r="PR41" s="239"/>
      <c r="PS41" s="240"/>
      <c r="PT41" s="239"/>
      <c r="PU41" s="240"/>
      <c r="PV41" s="239"/>
      <c r="PW41" s="240"/>
      <c r="PX41" s="239"/>
      <c r="PY41" s="240"/>
      <c r="PZ41" s="239"/>
      <c r="QA41" s="240"/>
      <c r="QB41" s="239"/>
      <c r="QC41" s="240"/>
      <c r="QD41" s="239"/>
      <c r="QE41" s="240"/>
      <c r="QF41" s="239"/>
      <c r="QG41" s="240"/>
      <c r="QH41" s="239"/>
      <c r="QI41" s="240"/>
      <c r="QJ41" s="239"/>
      <c r="QK41" s="240"/>
      <c r="QL41" s="239"/>
      <c r="QM41" s="240"/>
      <c r="QN41" s="239"/>
      <c r="QO41" s="240"/>
      <c r="QP41" s="239"/>
      <c r="QQ41" s="240"/>
      <c r="QR41" s="239"/>
      <c r="QS41" s="240"/>
      <c r="QT41" s="239"/>
      <c r="QU41" s="240"/>
      <c r="QV41" s="239"/>
      <c r="QW41" s="240"/>
      <c r="QX41" s="239"/>
      <c r="QY41" s="240"/>
      <c r="QZ41" s="239"/>
      <c r="RA41" s="240"/>
      <c r="RB41" s="239"/>
      <c r="RC41" s="240"/>
      <c r="RD41" s="239"/>
      <c r="RE41" s="240"/>
      <c r="RF41" s="239"/>
      <c r="RG41" s="240"/>
      <c r="RH41" s="239"/>
      <c r="RI41" s="240"/>
      <c r="RJ41" s="239"/>
      <c r="RK41" s="240"/>
      <c r="RL41" s="239"/>
      <c r="RM41" s="240"/>
      <c r="RN41" s="239"/>
      <c r="RO41" s="240"/>
      <c r="RP41" s="239"/>
      <c r="RQ41" s="240"/>
      <c r="RR41" s="239"/>
      <c r="RS41" s="240"/>
      <c r="RT41" s="239"/>
      <c r="RU41" s="240"/>
      <c r="RV41" s="239"/>
      <c r="RW41" s="240"/>
      <c r="RX41" s="239"/>
      <c r="RY41" s="240"/>
      <c r="RZ41" s="239"/>
      <c r="SA41" s="240"/>
      <c r="SB41" s="239"/>
      <c r="SC41" s="240"/>
      <c r="SD41" s="239"/>
      <c r="SE41" s="240"/>
      <c r="SF41" s="239"/>
      <c r="SG41" s="240"/>
      <c r="SH41" s="239"/>
      <c r="SI41" s="240"/>
      <c r="SJ41" s="239"/>
      <c r="SK41" s="240"/>
      <c r="SL41" s="239"/>
      <c r="SM41" s="240"/>
      <c r="SN41" s="239"/>
      <c r="SO41" s="240"/>
      <c r="SP41" s="239"/>
      <c r="SQ41" s="240"/>
      <c r="SR41" s="239"/>
      <c r="SS41" s="240"/>
      <c r="ST41" s="239"/>
      <c r="SU41" s="240"/>
      <c r="SV41" s="239"/>
      <c r="SW41" s="240"/>
      <c r="SX41" s="239"/>
      <c r="SY41" s="240"/>
      <c r="SZ41" s="239"/>
      <c r="TA41" s="240"/>
      <c r="TB41" s="239"/>
      <c r="TC41" s="240"/>
      <c r="TD41" s="239"/>
      <c r="TE41" s="240"/>
      <c r="TF41" s="239"/>
      <c r="TG41" s="240"/>
      <c r="TH41" s="239"/>
      <c r="TI41" s="240"/>
      <c r="TJ41" s="239"/>
      <c r="TK41" s="240"/>
      <c r="TL41" s="239"/>
      <c r="TM41" s="240"/>
      <c r="TN41" s="239"/>
      <c r="TO41" s="240"/>
      <c r="TP41" s="239"/>
      <c r="TQ41" s="240"/>
      <c r="TR41" s="239"/>
      <c r="TS41" s="240"/>
      <c r="TT41" s="239"/>
      <c r="TU41" s="240"/>
      <c r="TV41" s="239"/>
      <c r="TW41" s="240"/>
      <c r="TX41" s="239"/>
      <c r="TY41" s="240"/>
      <c r="TZ41" s="239"/>
      <c r="UA41" s="240"/>
      <c r="UB41" s="239"/>
      <c r="UC41" s="240"/>
      <c r="UD41" s="239"/>
      <c r="UE41" s="240"/>
      <c r="UF41" s="239"/>
      <c r="UG41" s="240"/>
      <c r="UH41" s="239"/>
      <c r="UI41" s="240"/>
      <c r="UJ41" s="239"/>
      <c r="UK41" s="240"/>
      <c r="UL41" s="239"/>
      <c r="UM41" s="240"/>
      <c r="UN41" s="239"/>
      <c r="UO41" s="240"/>
      <c r="UP41" s="239"/>
      <c r="UQ41" s="240"/>
      <c r="UR41" s="239"/>
      <c r="US41" s="240"/>
      <c r="UT41" s="239"/>
      <c r="UU41" s="240"/>
      <c r="UV41" s="239"/>
      <c r="UW41" s="240"/>
      <c r="UX41" s="239"/>
      <c r="UY41" s="240"/>
      <c r="UZ41" s="239"/>
      <c r="VA41" s="240"/>
      <c r="VB41" s="239"/>
      <c r="VC41" s="240"/>
      <c r="VD41" s="239"/>
      <c r="VE41" s="240"/>
      <c r="VF41" s="239"/>
      <c r="VG41" s="240"/>
      <c r="VH41" s="239"/>
      <c r="VI41" s="240"/>
      <c r="VJ41" s="239"/>
      <c r="VK41" s="240"/>
      <c r="VL41" s="239"/>
      <c r="VM41" s="240"/>
      <c r="VN41" s="239"/>
      <c r="VO41" s="240"/>
      <c r="VP41" s="239"/>
      <c r="VQ41" s="240"/>
      <c r="VR41" s="239"/>
      <c r="VS41" s="240"/>
      <c r="VT41" s="239"/>
      <c r="VU41" s="240"/>
      <c r="VV41" s="239"/>
      <c r="VW41" s="240"/>
      <c r="VX41" s="239"/>
      <c r="VY41" s="240"/>
      <c r="VZ41" s="239"/>
      <c r="WA41" s="240"/>
      <c r="WB41" s="239"/>
      <c r="WC41" s="240"/>
      <c r="WD41" s="239"/>
      <c r="WE41" s="240"/>
      <c r="WF41" s="239"/>
      <c r="WG41" s="240"/>
      <c r="WH41" s="239"/>
      <c r="WI41" s="240"/>
      <c r="WJ41" s="239"/>
      <c r="WK41" s="240"/>
      <c r="WL41" s="239"/>
      <c r="WM41" s="240"/>
      <c r="WN41" s="239"/>
      <c r="WO41" s="240"/>
      <c r="WP41" s="239"/>
      <c r="WQ41" s="240"/>
      <c r="WR41" s="239"/>
      <c r="WS41" s="240"/>
      <c r="WT41" s="239"/>
      <c r="WU41" s="240"/>
      <c r="WV41" s="239"/>
      <c r="WW41" s="240"/>
      <c r="WX41" s="239"/>
      <c r="WY41" s="240"/>
      <c r="WZ41" s="239"/>
      <c r="XA41" s="240"/>
      <c r="XB41" s="239"/>
      <c r="XC41" s="240"/>
      <c r="XD41" s="239"/>
      <c r="XE41" s="240"/>
      <c r="XF41" s="239"/>
      <c r="XG41" s="240"/>
      <c r="XH41" s="239"/>
      <c r="XI41" s="240"/>
      <c r="XJ41" s="239"/>
      <c r="XK41" s="240"/>
      <c r="XL41" s="239"/>
      <c r="XM41" s="240"/>
      <c r="XN41" s="239"/>
      <c r="XO41" s="240"/>
      <c r="XP41" s="239"/>
      <c r="XQ41" s="240"/>
      <c r="XR41" s="239"/>
      <c r="XS41" s="240"/>
      <c r="XT41" s="239"/>
      <c r="XU41" s="240"/>
      <c r="XV41" s="239"/>
      <c r="XW41" s="240"/>
      <c r="XX41" s="239"/>
      <c r="XY41" s="240"/>
      <c r="XZ41" s="239"/>
      <c r="YA41" s="240"/>
      <c r="YB41" s="239"/>
      <c r="YC41" s="240"/>
      <c r="YD41" s="239"/>
      <c r="YE41" s="240"/>
      <c r="YF41" s="239"/>
      <c r="YG41" s="240"/>
      <c r="YH41" s="239"/>
      <c r="YI41" s="240"/>
      <c r="YJ41" s="239"/>
      <c r="YK41" s="240"/>
      <c r="YL41" s="239"/>
      <c r="YM41" s="240"/>
      <c r="YN41" s="239"/>
      <c r="YO41" s="240"/>
      <c r="YP41" s="239"/>
      <c r="YQ41" s="240"/>
      <c r="YR41" s="239"/>
      <c r="YS41" s="240"/>
      <c r="YT41" s="239"/>
      <c r="YU41" s="240"/>
      <c r="YV41" s="239"/>
      <c r="YW41" s="240"/>
      <c r="YX41" s="239"/>
      <c r="YY41" s="240"/>
      <c r="YZ41" s="239"/>
      <c r="ZA41" s="240"/>
      <c r="ZB41" s="239"/>
      <c r="ZC41" s="240"/>
      <c r="ZD41" s="239"/>
      <c r="ZE41" s="240"/>
      <c r="ZF41" s="239"/>
      <c r="ZG41" s="240"/>
      <c r="ZH41" s="239"/>
      <c r="ZI41" s="240"/>
      <c r="ZJ41" s="239"/>
      <c r="ZK41" s="240"/>
      <c r="ZL41" s="239"/>
      <c r="ZM41" s="240"/>
      <c r="ZN41" s="239"/>
      <c r="ZO41" s="240"/>
      <c r="ZP41" s="239"/>
      <c r="ZQ41" s="240"/>
      <c r="ZR41" s="239"/>
      <c r="ZS41" s="240"/>
      <c r="ZT41" s="239"/>
      <c r="ZU41" s="240"/>
      <c r="ZV41" s="239"/>
      <c r="ZW41" s="240"/>
      <c r="ZX41" s="239"/>
      <c r="ZY41" s="240"/>
      <c r="ZZ41" s="239"/>
      <c r="AAA41" s="240"/>
      <c r="AAB41" s="239"/>
      <c r="AAC41" s="240"/>
      <c r="AAD41" s="239"/>
      <c r="AAE41" s="240"/>
      <c r="AAF41" s="239"/>
      <c r="AAG41" s="240"/>
      <c r="AAH41" s="239"/>
      <c r="AAI41" s="240"/>
      <c r="AAJ41" s="239"/>
      <c r="AAK41" s="240"/>
      <c r="AAL41" s="239"/>
      <c r="AAM41" s="240"/>
      <c r="AAN41" s="239"/>
      <c r="AAO41" s="240"/>
      <c r="AAP41" s="239"/>
      <c r="AAQ41" s="240"/>
      <c r="AAR41" s="239"/>
      <c r="AAS41" s="240"/>
      <c r="AAT41" s="239"/>
      <c r="AAU41" s="240"/>
      <c r="AAV41" s="239"/>
      <c r="AAW41" s="240"/>
      <c r="AAX41" s="239"/>
      <c r="AAY41" s="240"/>
      <c r="AAZ41" s="239"/>
      <c r="ABA41" s="240"/>
      <c r="ABB41" s="239"/>
      <c r="ABC41" s="240"/>
      <c r="ABD41" s="239"/>
      <c r="ABE41" s="240"/>
      <c r="ABF41" s="239"/>
      <c r="ABG41" s="240"/>
      <c r="ABH41" s="239"/>
      <c r="ABI41" s="240"/>
      <c r="ABJ41" s="239"/>
      <c r="ABK41" s="240"/>
      <c r="ABL41" s="239"/>
      <c r="ABM41" s="240"/>
      <c r="ABN41" s="239"/>
      <c r="ABO41" s="240"/>
      <c r="ABP41" s="239"/>
      <c r="ABQ41" s="240"/>
      <c r="ABR41" s="239"/>
      <c r="ABS41" s="240"/>
      <c r="ABT41" s="239"/>
      <c r="ABU41" s="240"/>
      <c r="ABV41" s="239"/>
      <c r="ABW41" s="240"/>
      <c r="ABX41" s="239"/>
      <c r="ABY41" s="240"/>
      <c r="ABZ41" s="239"/>
      <c r="ACA41" s="240"/>
      <c r="ACB41" s="239"/>
      <c r="ACC41" s="240"/>
      <c r="ACD41" s="239"/>
      <c r="ACE41" s="240"/>
      <c r="ACF41" s="239"/>
      <c r="ACG41" s="240"/>
      <c r="ACH41" s="239"/>
      <c r="ACI41" s="240"/>
      <c r="ACJ41" s="239"/>
      <c r="ACK41" s="240"/>
      <c r="ACL41" s="239"/>
      <c r="ACM41" s="240"/>
      <c r="ACN41" s="239"/>
      <c r="ACO41" s="240"/>
      <c r="ACP41" s="239"/>
      <c r="ACQ41" s="240"/>
      <c r="ACR41" s="239"/>
      <c r="ACS41" s="240"/>
      <c r="ACT41" s="239"/>
      <c r="ACU41" s="240"/>
      <c r="ACV41" s="239"/>
      <c r="ACW41" s="240"/>
      <c r="ACX41" s="239"/>
      <c r="ACY41" s="240"/>
      <c r="ACZ41" s="239"/>
      <c r="ADA41" s="240"/>
      <c r="ADB41" s="239"/>
      <c r="ADC41" s="240"/>
      <c r="ADD41" s="239"/>
      <c r="ADE41" s="240"/>
      <c r="ADF41" s="239"/>
      <c r="ADG41" s="240"/>
      <c r="ADH41" s="239"/>
      <c r="ADI41" s="240"/>
      <c r="ADJ41" s="239"/>
      <c r="ADK41" s="240"/>
      <c r="ADL41" s="239"/>
      <c r="ADM41" s="240"/>
      <c r="ADN41" s="239"/>
      <c r="ADO41" s="240"/>
      <c r="ADP41" s="239"/>
      <c r="ADQ41" s="240"/>
      <c r="ADR41" s="239"/>
      <c r="ADS41" s="240"/>
      <c r="ADT41" s="239"/>
      <c r="ADU41" s="240"/>
      <c r="ADV41" s="239"/>
      <c r="ADW41" s="240"/>
      <c r="ADX41" s="239"/>
      <c r="ADY41" s="240"/>
      <c r="ADZ41" s="239"/>
      <c r="AEA41" s="240"/>
      <c r="AEB41" s="239"/>
      <c r="AEC41" s="240"/>
      <c r="AED41" s="239"/>
      <c r="AEE41" s="240"/>
      <c r="AEF41" s="239"/>
      <c r="AEG41" s="240"/>
      <c r="AEH41" s="239"/>
      <c r="AEI41" s="240"/>
      <c r="AEJ41" s="239"/>
      <c r="AEK41" s="240"/>
      <c r="AEL41" s="239"/>
      <c r="AEM41" s="240"/>
      <c r="AEN41" s="239"/>
      <c r="AEO41" s="240"/>
      <c r="AEP41" s="239"/>
      <c r="AEQ41" s="240"/>
      <c r="AER41" s="239"/>
      <c r="AES41" s="240"/>
      <c r="AET41" s="239"/>
      <c r="AEU41" s="240"/>
      <c r="AEV41" s="239"/>
      <c r="AEW41" s="240"/>
      <c r="AEX41" s="239"/>
      <c r="AEY41" s="240"/>
      <c r="AEZ41" s="239"/>
      <c r="AFA41" s="240"/>
      <c r="AFB41" s="239"/>
      <c r="AFC41" s="240"/>
      <c r="AFD41" s="239"/>
      <c r="AFE41" s="240"/>
      <c r="AFF41" s="239"/>
      <c r="AFG41" s="240"/>
      <c r="AFH41" s="239"/>
      <c r="AFI41" s="240"/>
      <c r="AFJ41" s="239"/>
      <c r="AFK41" s="240"/>
      <c r="AFL41" s="239"/>
      <c r="AFM41" s="240"/>
      <c r="AFN41" s="239"/>
      <c r="AFO41" s="240"/>
      <c r="AFP41" s="239"/>
      <c r="AFQ41" s="240"/>
      <c r="AFR41" s="239"/>
      <c r="AFS41" s="240"/>
      <c r="AFT41" s="239"/>
      <c r="AFU41" s="240"/>
      <c r="AFV41" s="239"/>
      <c r="AFW41" s="240"/>
      <c r="AFX41" s="239"/>
      <c r="AFY41" s="240"/>
      <c r="AFZ41" s="239"/>
      <c r="AGA41" s="240"/>
      <c r="AGB41" s="239"/>
      <c r="AGC41" s="240"/>
      <c r="AGD41" s="239"/>
      <c r="AGE41" s="240"/>
      <c r="AGF41" s="239"/>
      <c r="AGG41" s="240"/>
      <c r="AGH41" s="239"/>
      <c r="AGI41" s="240"/>
      <c r="AGJ41" s="239"/>
      <c r="AGK41" s="240"/>
      <c r="AGL41" s="239"/>
      <c r="AGM41" s="240"/>
      <c r="AGN41" s="239"/>
      <c r="AGO41" s="240"/>
      <c r="AGP41" s="239"/>
      <c r="AGQ41" s="240"/>
      <c r="AGR41" s="239"/>
      <c r="AGS41" s="240"/>
      <c r="AGT41" s="239"/>
      <c r="AGU41" s="240"/>
      <c r="AGV41" s="239"/>
      <c r="AGW41" s="240"/>
      <c r="AGX41" s="239"/>
      <c r="AGY41" s="240"/>
      <c r="AGZ41" s="239"/>
      <c r="AHA41" s="240"/>
      <c r="AHB41" s="239"/>
      <c r="AHC41" s="240"/>
      <c r="AHD41" s="239"/>
      <c r="AHE41" s="240"/>
      <c r="AHF41" s="239"/>
      <c r="AHG41" s="240"/>
      <c r="AHH41" s="239"/>
      <c r="AHI41" s="240"/>
      <c r="AHJ41" s="239"/>
      <c r="AHK41" s="240"/>
      <c r="AHL41" s="239"/>
      <c r="AHM41" s="240"/>
      <c r="AHN41" s="239"/>
      <c r="AHO41" s="240"/>
      <c r="AHP41" s="239"/>
      <c r="AHQ41" s="240"/>
      <c r="AHR41" s="239"/>
      <c r="AHS41" s="240"/>
      <c r="AHT41" s="239"/>
      <c r="AHU41" s="240"/>
      <c r="AHV41" s="239"/>
      <c r="AHW41" s="240"/>
      <c r="AHX41" s="239"/>
      <c r="AHY41" s="240"/>
      <c r="AHZ41" s="239"/>
      <c r="AIA41" s="240"/>
      <c r="AIB41" s="239"/>
      <c r="AIC41" s="240"/>
      <c r="AID41" s="239"/>
      <c r="AIE41" s="240"/>
      <c r="AIF41" s="239"/>
      <c r="AIG41" s="240"/>
      <c r="AIH41" s="239"/>
      <c r="AII41" s="240"/>
      <c r="AIJ41" s="239"/>
      <c r="AIK41" s="240"/>
      <c r="AIL41" s="239"/>
      <c r="AIM41" s="240"/>
      <c r="AIN41" s="239"/>
      <c r="AIO41" s="240"/>
      <c r="AIP41" s="239"/>
      <c r="AIQ41" s="240"/>
      <c r="AIR41" s="239"/>
      <c r="AIS41" s="240"/>
      <c r="AIT41" s="239"/>
      <c r="AIU41" s="240"/>
      <c r="AIV41" s="239"/>
      <c r="AIW41" s="240"/>
      <c r="AIX41" s="239"/>
      <c r="AIY41" s="240"/>
      <c r="AIZ41" s="239"/>
      <c r="AJA41" s="240"/>
      <c r="AJB41" s="239"/>
      <c r="AJC41" s="240"/>
      <c r="AJD41" s="239"/>
      <c r="AJE41" s="240"/>
      <c r="AJF41" s="239"/>
      <c r="AJG41" s="240"/>
      <c r="AJH41" s="239"/>
      <c r="AJI41" s="240"/>
      <c r="AJJ41" s="239"/>
      <c r="AJK41" s="240"/>
      <c r="AJL41" s="239"/>
      <c r="AJM41" s="240"/>
      <c r="AJN41" s="239"/>
      <c r="AJO41" s="240"/>
      <c r="AJP41" s="239"/>
      <c r="AJQ41" s="240"/>
      <c r="AJR41" s="239"/>
      <c r="AJS41" s="240"/>
      <c r="AJT41" s="239"/>
      <c r="AJU41" s="240"/>
      <c r="AJV41" s="239"/>
      <c r="AJW41" s="240"/>
      <c r="AJX41" s="239"/>
      <c r="AJY41" s="240"/>
      <c r="AJZ41" s="239"/>
      <c r="AKA41" s="240"/>
      <c r="AKB41" s="239"/>
      <c r="AKC41" s="240"/>
      <c r="AKD41" s="239"/>
      <c r="AKE41" s="240"/>
      <c r="AKF41" s="239"/>
      <c r="AKG41" s="240"/>
      <c r="AKH41" s="239"/>
      <c r="AKI41" s="240"/>
      <c r="AKJ41" s="239"/>
      <c r="AKK41" s="240"/>
      <c r="AKL41" s="239"/>
      <c r="AKM41" s="240"/>
      <c r="AKN41" s="239"/>
      <c r="AKO41" s="240"/>
      <c r="AKP41" s="239"/>
      <c r="AKQ41" s="240"/>
      <c r="AKR41" s="239"/>
      <c r="AKS41" s="240"/>
      <c r="AKT41" s="239"/>
      <c r="AKU41" s="240"/>
      <c r="AKV41" s="239"/>
      <c r="AKW41" s="240"/>
      <c r="AKX41" s="239"/>
      <c r="AKY41" s="240"/>
      <c r="AKZ41" s="239"/>
      <c r="ALA41" s="240"/>
      <c r="ALB41" s="239"/>
      <c r="ALC41" s="240"/>
      <c r="ALD41" s="239"/>
      <c r="ALE41" s="240"/>
      <c r="ALF41" s="239"/>
      <c r="ALG41" s="240"/>
      <c r="ALH41" s="239"/>
      <c r="ALI41" s="240"/>
      <c r="ALJ41" s="239"/>
      <c r="ALK41" s="240"/>
      <c r="ALL41" s="239"/>
      <c r="ALM41" s="240"/>
      <c r="ALN41" s="239"/>
      <c r="ALO41" s="240"/>
      <c r="ALP41" s="239"/>
      <c r="ALQ41" s="240"/>
      <c r="ALR41" s="239"/>
      <c r="ALS41" s="240"/>
      <c r="ALT41" s="239"/>
      <c r="ALU41" s="240"/>
      <c r="ALV41" s="239"/>
      <c r="ALW41" s="240"/>
      <c r="ALX41" s="239"/>
      <c r="ALY41" s="240"/>
      <c r="ALZ41" s="239"/>
      <c r="AMA41" s="240"/>
      <c r="AMB41" s="239"/>
      <c r="AMC41" s="240"/>
      <c r="AMD41" s="239"/>
      <c r="AME41" s="240"/>
      <c r="AMF41" s="239"/>
      <c r="AMG41" s="240"/>
      <c r="AMH41" s="239"/>
      <c r="AMI41" s="240"/>
      <c r="AMJ41" s="239"/>
      <c r="AMK41" s="240"/>
      <c r="AML41" s="239"/>
      <c r="AMM41" s="240"/>
      <c r="AMN41" s="239"/>
      <c r="AMO41" s="240"/>
      <c r="AMP41" s="239"/>
      <c r="AMQ41" s="240"/>
      <c r="AMR41" s="239"/>
      <c r="AMS41" s="240"/>
      <c r="AMT41" s="239"/>
      <c r="AMU41" s="240"/>
      <c r="AMV41" s="239"/>
      <c r="AMW41" s="240"/>
      <c r="AMX41" s="239"/>
      <c r="AMY41" s="240"/>
      <c r="AMZ41" s="239"/>
      <c r="ANA41" s="240"/>
      <c r="ANB41" s="239"/>
      <c r="ANC41" s="240"/>
      <c r="AND41" s="239"/>
      <c r="ANE41" s="240"/>
      <c r="ANF41" s="239"/>
      <c r="ANG41" s="240"/>
      <c r="ANH41" s="239"/>
      <c r="ANI41" s="240"/>
      <c r="ANJ41" s="239"/>
      <c r="ANK41" s="240"/>
      <c r="ANL41" s="239"/>
      <c r="ANM41" s="240"/>
      <c r="ANN41" s="239"/>
      <c r="ANO41" s="240"/>
      <c r="ANP41" s="239"/>
      <c r="ANQ41" s="240"/>
      <c r="ANR41" s="239"/>
      <c r="ANS41" s="240"/>
      <c r="ANT41" s="239"/>
      <c r="ANU41" s="240"/>
      <c r="ANV41" s="239"/>
      <c r="ANW41" s="240"/>
      <c r="ANX41" s="239"/>
      <c r="ANY41" s="240"/>
      <c r="ANZ41" s="239"/>
      <c r="AOA41" s="240"/>
      <c r="AOB41" s="239"/>
      <c r="AOC41" s="240"/>
      <c r="AOD41" s="239"/>
      <c r="AOE41" s="240"/>
      <c r="AOF41" s="239"/>
      <c r="AOG41" s="240"/>
      <c r="AOH41" s="239"/>
      <c r="AOI41" s="240"/>
      <c r="AOJ41" s="239"/>
      <c r="AOK41" s="240"/>
      <c r="AOL41" s="239"/>
      <c r="AOM41" s="240"/>
      <c r="AON41" s="239"/>
      <c r="AOO41" s="240"/>
      <c r="AOP41" s="239"/>
      <c r="AOQ41" s="240"/>
      <c r="AOR41" s="239"/>
      <c r="AOS41" s="240"/>
      <c r="AOT41" s="239"/>
      <c r="AOU41" s="240"/>
      <c r="AOV41" s="239"/>
      <c r="AOW41" s="240"/>
      <c r="AOX41" s="239"/>
      <c r="AOY41" s="240"/>
      <c r="AOZ41" s="239"/>
      <c r="APA41" s="240"/>
      <c r="APB41" s="239"/>
      <c r="APC41" s="240"/>
      <c r="APD41" s="239"/>
      <c r="APE41" s="240"/>
      <c r="APF41" s="239"/>
      <c r="APG41" s="240"/>
      <c r="APH41" s="239"/>
      <c r="API41" s="240"/>
      <c r="APJ41" s="239"/>
      <c r="APK41" s="240"/>
      <c r="APL41" s="239"/>
      <c r="APM41" s="240"/>
      <c r="APN41" s="239"/>
      <c r="APO41" s="240"/>
      <c r="APP41" s="239"/>
      <c r="APQ41" s="240"/>
      <c r="APR41" s="239"/>
      <c r="APS41" s="240"/>
      <c r="APT41" s="239"/>
      <c r="APU41" s="240"/>
      <c r="APV41" s="239"/>
      <c r="APW41" s="240"/>
      <c r="APX41" s="239"/>
      <c r="APY41" s="240"/>
      <c r="APZ41" s="239"/>
      <c r="AQA41" s="240"/>
      <c r="AQB41" s="239"/>
      <c r="AQC41" s="240"/>
      <c r="AQD41" s="239"/>
      <c r="AQE41" s="240"/>
      <c r="AQF41" s="239"/>
      <c r="AQG41" s="240"/>
      <c r="AQH41" s="239"/>
      <c r="AQI41" s="240"/>
      <c r="AQJ41" s="239"/>
      <c r="AQK41" s="240"/>
      <c r="AQL41" s="239"/>
      <c r="AQM41" s="240"/>
      <c r="AQN41" s="239"/>
      <c r="AQO41" s="240"/>
      <c r="AQP41" s="239"/>
      <c r="AQQ41" s="240"/>
      <c r="AQR41" s="239"/>
      <c r="AQS41" s="240"/>
      <c r="AQT41" s="239"/>
      <c r="AQU41" s="240"/>
      <c r="AQV41" s="239"/>
      <c r="AQW41" s="240"/>
      <c r="AQX41" s="239"/>
      <c r="AQY41" s="240"/>
      <c r="AQZ41" s="239"/>
      <c r="ARA41" s="240"/>
      <c r="ARB41" s="239"/>
      <c r="ARC41" s="240"/>
      <c r="ARD41" s="239"/>
      <c r="ARE41" s="240"/>
      <c r="ARF41" s="239"/>
      <c r="ARG41" s="240"/>
      <c r="ARH41" s="239"/>
      <c r="ARI41" s="240"/>
      <c r="ARJ41" s="239"/>
      <c r="ARK41" s="240"/>
      <c r="ARL41" s="239"/>
      <c r="ARM41" s="240"/>
      <c r="ARN41" s="239"/>
      <c r="ARO41" s="240"/>
      <c r="ARP41" s="239"/>
      <c r="ARQ41" s="240"/>
      <c r="ARR41" s="239"/>
      <c r="ARS41" s="240"/>
      <c r="ART41" s="239"/>
      <c r="ARU41" s="240"/>
      <c r="ARV41" s="239"/>
      <c r="ARW41" s="240"/>
      <c r="ARX41" s="239"/>
      <c r="ARY41" s="240"/>
      <c r="ARZ41" s="239"/>
      <c r="ASA41" s="240"/>
      <c r="ASB41" s="239"/>
      <c r="ASC41" s="240"/>
      <c r="ASD41" s="239"/>
      <c r="ASE41" s="240"/>
      <c r="ASF41" s="239"/>
      <c r="ASG41" s="240"/>
      <c r="ASH41" s="239"/>
      <c r="ASI41" s="240"/>
      <c r="ASJ41" s="239"/>
      <c r="ASK41" s="240"/>
      <c r="ASL41" s="239"/>
      <c r="ASM41" s="240"/>
      <c r="ASN41" s="239"/>
      <c r="ASO41" s="240"/>
      <c r="ASP41" s="239"/>
      <c r="ASQ41" s="240"/>
      <c r="ASR41" s="239"/>
      <c r="ASS41" s="240"/>
      <c r="AST41" s="239"/>
      <c r="ASU41" s="240"/>
      <c r="ASV41" s="239"/>
      <c r="ASW41" s="240"/>
      <c r="ASX41" s="239"/>
      <c r="ASY41" s="240"/>
      <c r="ASZ41" s="239"/>
      <c r="ATA41" s="240"/>
      <c r="ATB41" s="239"/>
      <c r="ATC41" s="240"/>
      <c r="ATD41" s="239"/>
      <c r="ATE41" s="240"/>
      <c r="ATF41" s="239"/>
      <c r="ATG41" s="240"/>
      <c r="ATH41" s="239"/>
      <c r="ATI41" s="240"/>
      <c r="ATJ41" s="239"/>
      <c r="ATK41" s="240"/>
      <c r="ATL41" s="239"/>
      <c r="ATM41" s="240"/>
      <c r="ATN41" s="239"/>
      <c r="ATO41" s="240"/>
      <c r="ATP41" s="239"/>
      <c r="ATQ41" s="240"/>
      <c r="ATR41" s="239"/>
      <c r="ATS41" s="240"/>
      <c r="ATT41" s="239"/>
      <c r="ATU41" s="240"/>
      <c r="ATV41" s="239"/>
      <c r="ATW41" s="240"/>
      <c r="ATX41" s="239"/>
      <c r="ATY41" s="240"/>
      <c r="ATZ41" s="239"/>
      <c r="AUA41" s="240"/>
      <c r="AUB41" s="239"/>
      <c r="AUC41" s="240"/>
      <c r="AUD41" s="239"/>
      <c r="AUE41" s="240"/>
      <c r="AUF41" s="239"/>
      <c r="AUG41" s="240"/>
      <c r="AUH41" s="239"/>
      <c r="AUI41" s="240"/>
      <c r="AUJ41" s="239"/>
      <c r="AUK41" s="240"/>
      <c r="AUL41" s="239"/>
      <c r="AUM41" s="240"/>
      <c r="AUN41" s="239"/>
      <c r="AUO41" s="240"/>
      <c r="AUP41" s="239"/>
      <c r="AUQ41" s="240"/>
      <c r="AUR41" s="239"/>
      <c r="AUS41" s="240"/>
      <c r="AUT41" s="239"/>
      <c r="AUU41" s="240"/>
      <c r="AUV41" s="239"/>
      <c r="AUW41" s="240"/>
      <c r="AUX41" s="239"/>
      <c r="AUY41" s="240"/>
      <c r="AUZ41" s="239"/>
      <c r="AVA41" s="240"/>
      <c r="AVB41" s="239"/>
      <c r="AVC41" s="240"/>
      <c r="AVD41" s="239"/>
      <c r="AVE41" s="240"/>
      <c r="AVF41" s="239"/>
      <c r="AVG41" s="240"/>
      <c r="AVH41" s="239"/>
      <c r="AVI41" s="240"/>
      <c r="AVJ41" s="239"/>
      <c r="AVK41" s="240"/>
      <c r="AVL41" s="239"/>
      <c r="AVM41" s="240"/>
      <c r="AVN41" s="239"/>
      <c r="AVO41" s="240"/>
      <c r="AVP41" s="239"/>
      <c r="AVQ41" s="240"/>
      <c r="AVR41" s="239"/>
      <c r="AVS41" s="240"/>
      <c r="AVT41" s="239"/>
      <c r="AVU41" s="240"/>
      <c r="AVV41" s="239"/>
      <c r="AVW41" s="240"/>
      <c r="AVX41" s="239"/>
      <c r="AVY41" s="240"/>
      <c r="AVZ41" s="239"/>
      <c r="AWA41" s="240"/>
      <c r="AWB41" s="239"/>
      <c r="AWC41" s="240"/>
      <c r="AWD41" s="239"/>
      <c r="AWE41" s="240"/>
      <c r="AWF41" s="239"/>
      <c r="AWG41" s="240"/>
      <c r="AWH41" s="239"/>
      <c r="AWI41" s="240"/>
      <c r="AWJ41" s="239"/>
      <c r="AWK41" s="240"/>
      <c r="AWL41" s="239"/>
      <c r="AWM41" s="240"/>
      <c r="AWN41" s="239"/>
      <c r="AWO41" s="240"/>
      <c r="AWP41" s="239"/>
      <c r="AWQ41" s="240"/>
      <c r="AWR41" s="239"/>
      <c r="AWS41" s="240"/>
      <c r="AWT41" s="239"/>
      <c r="AWU41" s="240"/>
      <c r="AWV41" s="239"/>
      <c r="AWW41" s="240"/>
      <c r="AWX41" s="239"/>
      <c r="AWY41" s="240"/>
      <c r="AWZ41" s="239"/>
      <c r="AXA41" s="240"/>
      <c r="AXB41" s="239"/>
      <c r="AXC41" s="240"/>
      <c r="AXD41" s="239"/>
      <c r="AXE41" s="240"/>
      <c r="AXF41" s="239"/>
      <c r="AXG41" s="240"/>
      <c r="AXH41" s="239"/>
      <c r="AXI41" s="240"/>
      <c r="AXJ41" s="239"/>
      <c r="AXK41" s="240"/>
      <c r="AXL41" s="239"/>
      <c r="AXM41" s="240"/>
      <c r="AXN41" s="239"/>
      <c r="AXO41" s="240"/>
      <c r="AXP41" s="239"/>
      <c r="AXQ41" s="240"/>
      <c r="AXR41" s="239"/>
      <c r="AXS41" s="240"/>
      <c r="AXT41" s="239"/>
      <c r="AXU41" s="240"/>
      <c r="AXV41" s="239"/>
      <c r="AXW41" s="240"/>
      <c r="AXX41" s="239"/>
      <c r="AXY41" s="240"/>
      <c r="AXZ41" s="239"/>
      <c r="AYA41" s="240"/>
      <c r="AYB41" s="239"/>
      <c r="AYC41" s="240"/>
      <c r="AYD41" s="239"/>
      <c r="AYE41" s="240"/>
      <c r="AYF41" s="239"/>
      <c r="AYG41" s="240"/>
      <c r="AYH41" s="239"/>
      <c r="AYI41" s="240"/>
      <c r="AYJ41" s="239"/>
      <c r="AYK41" s="240"/>
      <c r="AYL41" s="239"/>
      <c r="AYM41" s="240"/>
      <c r="AYN41" s="239"/>
      <c r="AYO41" s="240"/>
      <c r="AYP41" s="239"/>
      <c r="AYQ41" s="240"/>
      <c r="AYR41" s="239"/>
      <c r="AYS41" s="240"/>
      <c r="AYT41" s="239"/>
      <c r="AYU41" s="240"/>
      <c r="AYV41" s="239"/>
      <c r="AYW41" s="240"/>
      <c r="AYX41" s="239"/>
      <c r="AYY41" s="240"/>
      <c r="AYZ41" s="239"/>
      <c r="AZA41" s="240"/>
      <c r="AZB41" s="239"/>
      <c r="AZC41" s="240"/>
      <c r="AZD41" s="239"/>
      <c r="AZE41" s="240"/>
      <c r="AZF41" s="239"/>
      <c r="AZG41" s="240"/>
      <c r="AZH41" s="239"/>
      <c r="AZI41" s="240"/>
      <c r="AZJ41" s="239"/>
      <c r="AZK41" s="240"/>
      <c r="AZL41" s="239"/>
      <c r="AZM41" s="240"/>
      <c r="AZN41" s="239"/>
      <c r="AZO41" s="240"/>
      <c r="AZP41" s="239"/>
      <c r="AZQ41" s="240"/>
      <c r="AZR41" s="239"/>
      <c r="AZS41" s="240"/>
      <c r="AZT41" s="239"/>
      <c r="AZU41" s="240"/>
      <c r="AZV41" s="239"/>
      <c r="AZW41" s="240"/>
      <c r="AZX41" s="239"/>
      <c r="AZY41" s="240"/>
      <c r="AZZ41" s="239"/>
      <c r="BAA41" s="240"/>
      <c r="BAB41" s="239"/>
      <c r="BAC41" s="240"/>
      <c r="BAD41" s="239"/>
      <c r="BAE41" s="240"/>
      <c r="BAF41" s="239"/>
      <c r="BAG41" s="240"/>
      <c r="BAH41" s="239"/>
      <c r="BAI41" s="240"/>
      <c r="BAJ41" s="239"/>
      <c r="BAK41" s="240"/>
      <c r="BAL41" s="239"/>
      <c r="BAM41" s="240"/>
      <c r="BAN41" s="239"/>
      <c r="BAO41" s="240"/>
      <c r="BAP41" s="239"/>
      <c r="BAQ41" s="240"/>
      <c r="BAR41" s="239"/>
      <c r="BAS41" s="240"/>
      <c r="BAT41" s="239"/>
      <c r="BAU41" s="240"/>
      <c r="BAV41" s="239"/>
      <c r="BAW41" s="240"/>
      <c r="BAX41" s="239"/>
      <c r="BAY41" s="240"/>
      <c r="BAZ41" s="239"/>
      <c r="BBA41" s="240"/>
      <c r="BBB41" s="239"/>
      <c r="BBC41" s="240"/>
      <c r="BBD41" s="239"/>
      <c r="BBE41" s="240"/>
      <c r="BBF41" s="239"/>
      <c r="BBG41" s="240"/>
      <c r="BBH41" s="239"/>
      <c r="BBI41" s="240"/>
      <c r="BBJ41" s="239"/>
      <c r="BBK41" s="240"/>
      <c r="BBL41" s="239"/>
      <c r="BBM41" s="240"/>
      <c r="BBN41" s="239"/>
      <c r="BBO41" s="240"/>
      <c r="BBP41" s="239"/>
      <c r="BBQ41" s="240"/>
      <c r="BBR41" s="239"/>
      <c r="BBS41" s="240"/>
      <c r="BBT41" s="239"/>
      <c r="BBU41" s="240"/>
      <c r="BBV41" s="239"/>
      <c r="BBW41" s="240"/>
      <c r="BBX41" s="239"/>
      <c r="BBY41" s="240"/>
      <c r="BBZ41" s="239"/>
      <c r="BCA41" s="240"/>
      <c r="BCB41" s="239"/>
      <c r="BCC41" s="240"/>
      <c r="BCD41" s="239"/>
      <c r="BCE41" s="240"/>
      <c r="BCF41" s="239"/>
      <c r="BCG41" s="240"/>
      <c r="BCH41" s="239"/>
      <c r="BCI41" s="240"/>
      <c r="BCJ41" s="239"/>
      <c r="BCK41" s="240"/>
      <c r="BCL41" s="239"/>
      <c r="BCM41" s="240"/>
      <c r="BCN41" s="239"/>
      <c r="BCO41" s="240"/>
      <c r="BCP41" s="239"/>
      <c r="BCQ41" s="240"/>
      <c r="BCR41" s="239"/>
      <c r="BCS41" s="240"/>
      <c r="BCT41" s="239"/>
      <c r="BCU41" s="240"/>
      <c r="BCV41" s="239"/>
      <c r="BCW41" s="240"/>
      <c r="BCX41" s="239"/>
      <c r="BCY41" s="240"/>
      <c r="BCZ41" s="239"/>
      <c r="BDA41" s="240"/>
      <c r="BDB41" s="239"/>
      <c r="BDC41" s="240"/>
      <c r="BDD41" s="239"/>
      <c r="BDE41" s="240"/>
      <c r="BDF41" s="239"/>
      <c r="BDG41" s="240"/>
      <c r="BDH41" s="239"/>
      <c r="BDI41" s="240"/>
      <c r="BDJ41" s="239"/>
      <c r="BDK41" s="240"/>
      <c r="BDL41" s="239"/>
      <c r="BDM41" s="240"/>
      <c r="BDN41" s="239"/>
      <c r="BDO41" s="240"/>
      <c r="BDP41" s="239"/>
      <c r="BDQ41" s="240"/>
      <c r="BDR41" s="239"/>
      <c r="BDS41" s="240"/>
      <c r="BDT41" s="239"/>
      <c r="BDU41" s="240"/>
      <c r="BDV41" s="239"/>
      <c r="BDW41" s="240"/>
      <c r="BDX41" s="239"/>
      <c r="BDY41" s="240"/>
      <c r="BDZ41" s="239"/>
      <c r="BEA41" s="240"/>
      <c r="BEB41" s="239"/>
      <c r="BEC41" s="240"/>
      <c r="BED41" s="239"/>
      <c r="BEE41" s="240"/>
      <c r="BEF41" s="239"/>
      <c r="BEG41" s="240"/>
      <c r="BEH41" s="239"/>
      <c r="BEI41" s="240"/>
      <c r="BEJ41" s="239"/>
      <c r="BEK41" s="240"/>
      <c r="BEL41" s="239"/>
      <c r="BEM41" s="240"/>
      <c r="BEN41" s="239"/>
      <c r="BEO41" s="240"/>
      <c r="BEP41" s="239"/>
      <c r="BEQ41" s="240"/>
      <c r="BER41" s="239"/>
      <c r="BES41" s="240"/>
      <c r="BET41" s="239"/>
      <c r="BEU41" s="240"/>
      <c r="BEV41" s="239"/>
      <c r="BEW41" s="240"/>
      <c r="BEX41" s="239"/>
      <c r="BEY41" s="240"/>
      <c r="BEZ41" s="239"/>
      <c r="BFA41" s="240"/>
      <c r="BFB41" s="239"/>
      <c r="BFC41" s="240"/>
      <c r="BFD41" s="239"/>
      <c r="BFE41" s="240"/>
      <c r="BFF41" s="239"/>
      <c r="BFG41" s="240"/>
      <c r="BFH41" s="239"/>
      <c r="BFI41" s="240"/>
      <c r="BFJ41" s="239"/>
      <c r="BFK41" s="240"/>
      <c r="BFL41" s="239"/>
      <c r="BFM41" s="240"/>
      <c r="BFN41" s="239"/>
      <c r="BFO41" s="240"/>
      <c r="BFP41" s="239"/>
      <c r="BFQ41" s="240"/>
      <c r="BFR41" s="239"/>
      <c r="BFS41" s="240"/>
      <c r="BFT41" s="239"/>
      <c r="BFU41" s="240"/>
      <c r="BFV41" s="239"/>
      <c r="BFW41" s="240"/>
      <c r="BFX41" s="239"/>
      <c r="BFY41" s="240"/>
      <c r="BFZ41" s="239"/>
      <c r="BGA41" s="240"/>
      <c r="BGB41" s="239"/>
      <c r="BGC41" s="240"/>
      <c r="BGD41" s="239"/>
      <c r="BGE41" s="240"/>
      <c r="BGF41" s="239"/>
      <c r="BGG41" s="240"/>
      <c r="BGH41" s="239"/>
      <c r="BGI41" s="240"/>
      <c r="BGJ41" s="239"/>
      <c r="BGK41" s="240"/>
      <c r="BGL41" s="239"/>
      <c r="BGM41" s="240"/>
      <c r="BGN41" s="239"/>
      <c r="BGO41" s="240"/>
      <c r="BGP41" s="239"/>
      <c r="BGQ41" s="240"/>
      <c r="BGR41" s="239"/>
      <c r="BGS41" s="240"/>
      <c r="BGT41" s="239"/>
      <c r="BGU41" s="240"/>
      <c r="BGV41" s="239"/>
      <c r="BGW41" s="240"/>
      <c r="BGX41" s="239"/>
      <c r="BGY41" s="240"/>
      <c r="BGZ41" s="239"/>
      <c r="BHA41" s="240"/>
      <c r="BHB41" s="239"/>
      <c r="BHC41" s="240"/>
      <c r="BHD41" s="239"/>
      <c r="BHE41" s="240"/>
      <c r="BHF41" s="239"/>
      <c r="BHG41" s="240"/>
      <c r="BHH41" s="239"/>
      <c r="BHI41" s="240"/>
      <c r="BHJ41" s="239"/>
      <c r="BHK41" s="240"/>
      <c r="BHL41" s="239"/>
      <c r="BHM41" s="240"/>
      <c r="BHN41" s="239"/>
      <c r="BHO41" s="240"/>
      <c r="BHP41" s="239"/>
      <c r="BHQ41" s="240"/>
      <c r="BHR41" s="239"/>
      <c r="BHS41" s="240"/>
      <c r="BHT41" s="239"/>
      <c r="BHU41" s="240"/>
      <c r="BHV41" s="239"/>
      <c r="BHW41" s="240"/>
      <c r="BHX41" s="239"/>
      <c r="BHY41" s="240"/>
      <c r="BHZ41" s="239"/>
      <c r="BIA41" s="240"/>
      <c r="BIB41" s="239"/>
      <c r="BIC41" s="240"/>
      <c r="BID41" s="239"/>
      <c r="BIE41" s="240"/>
      <c r="BIF41" s="239"/>
      <c r="BIG41" s="240"/>
      <c r="BIH41" s="239"/>
      <c r="BII41" s="240"/>
      <c r="BIJ41" s="239"/>
      <c r="BIK41" s="240"/>
      <c r="BIL41" s="239"/>
      <c r="BIM41" s="240"/>
      <c r="BIN41" s="239"/>
      <c r="BIO41" s="240"/>
      <c r="BIP41" s="239"/>
      <c r="BIQ41" s="240"/>
      <c r="BIR41" s="239"/>
      <c r="BIS41" s="240"/>
      <c r="BIT41" s="239"/>
      <c r="BIU41" s="240"/>
      <c r="BIV41" s="239"/>
      <c r="BIW41" s="240"/>
      <c r="BIX41" s="239"/>
      <c r="BIY41" s="240"/>
      <c r="BIZ41" s="239"/>
      <c r="BJA41" s="240"/>
      <c r="BJB41" s="239"/>
      <c r="BJC41" s="240"/>
      <c r="BJD41" s="239"/>
      <c r="BJE41" s="240"/>
      <c r="BJF41" s="239"/>
      <c r="BJG41" s="240"/>
      <c r="BJH41" s="239"/>
      <c r="BJI41" s="240"/>
      <c r="BJJ41" s="239"/>
      <c r="BJK41" s="240"/>
      <c r="BJL41" s="239"/>
      <c r="BJM41" s="240"/>
      <c r="BJN41" s="239"/>
      <c r="BJO41" s="240"/>
      <c r="BJP41" s="239"/>
      <c r="BJQ41" s="240"/>
      <c r="BJR41" s="239"/>
      <c r="BJS41" s="240"/>
      <c r="BJT41" s="239"/>
      <c r="BJU41" s="240"/>
      <c r="BJV41" s="239"/>
      <c r="BJW41" s="240"/>
      <c r="BJX41" s="239"/>
      <c r="BJY41" s="240"/>
      <c r="BJZ41" s="239"/>
      <c r="BKA41" s="240"/>
      <c r="BKB41" s="239"/>
      <c r="BKC41" s="240"/>
      <c r="BKD41" s="239"/>
      <c r="BKE41" s="240"/>
      <c r="BKF41" s="239"/>
      <c r="BKG41" s="240"/>
      <c r="BKH41" s="239"/>
      <c r="BKI41" s="240"/>
      <c r="BKJ41" s="239"/>
      <c r="BKK41" s="240"/>
      <c r="BKL41" s="239"/>
      <c r="BKM41" s="240"/>
      <c r="BKN41" s="239"/>
      <c r="BKO41" s="240"/>
      <c r="BKP41" s="239"/>
      <c r="BKQ41" s="240"/>
      <c r="BKR41" s="239"/>
      <c r="BKS41" s="240"/>
      <c r="BKT41" s="239"/>
      <c r="BKU41" s="240"/>
      <c r="BKV41" s="239"/>
      <c r="BKW41" s="240"/>
      <c r="BKX41" s="239"/>
      <c r="BKY41" s="240"/>
      <c r="BKZ41" s="239"/>
      <c r="BLA41" s="240"/>
      <c r="BLB41" s="239"/>
      <c r="BLC41" s="240"/>
      <c r="BLD41" s="239"/>
      <c r="BLE41" s="240"/>
      <c r="BLF41" s="239"/>
      <c r="BLG41" s="240"/>
      <c r="BLH41" s="239"/>
      <c r="BLI41" s="240"/>
      <c r="BLJ41" s="239"/>
      <c r="BLK41" s="240"/>
      <c r="BLL41" s="239"/>
      <c r="BLM41" s="240"/>
      <c r="BLN41" s="239"/>
      <c r="BLO41" s="240"/>
      <c r="BLP41" s="239"/>
      <c r="BLQ41" s="240"/>
      <c r="BLR41" s="239"/>
      <c r="BLS41" s="240"/>
      <c r="BLT41" s="239"/>
      <c r="BLU41" s="240"/>
      <c r="BLV41" s="239"/>
      <c r="BLW41" s="240"/>
      <c r="BLX41" s="239"/>
      <c r="BLY41" s="240"/>
      <c r="BLZ41" s="239"/>
      <c r="BMA41" s="240"/>
      <c r="BMB41" s="239"/>
      <c r="BMC41" s="240"/>
      <c r="BMD41" s="239"/>
      <c r="BME41" s="240"/>
      <c r="BMF41" s="239"/>
      <c r="BMG41" s="240"/>
      <c r="BMH41" s="239"/>
      <c r="BMI41" s="240"/>
      <c r="BMJ41" s="239"/>
      <c r="BMK41" s="240"/>
      <c r="BML41" s="239"/>
      <c r="BMM41" s="240"/>
      <c r="BMN41" s="239"/>
      <c r="BMO41" s="240"/>
      <c r="BMP41" s="239"/>
      <c r="BMQ41" s="240"/>
      <c r="BMR41" s="239"/>
      <c r="BMS41" s="240"/>
      <c r="BMT41" s="239"/>
      <c r="BMU41" s="240"/>
      <c r="BMV41" s="239"/>
      <c r="BMW41" s="240"/>
      <c r="BMX41" s="239"/>
      <c r="BMY41" s="240"/>
      <c r="BMZ41" s="239"/>
      <c r="BNA41" s="240"/>
      <c r="BNB41" s="239"/>
      <c r="BNC41" s="240"/>
      <c r="BND41" s="239"/>
      <c r="BNE41" s="240"/>
      <c r="BNF41" s="239"/>
      <c r="BNG41" s="240"/>
      <c r="BNH41" s="239"/>
      <c r="BNI41" s="240"/>
      <c r="BNJ41" s="239"/>
      <c r="BNK41" s="240"/>
      <c r="BNL41" s="239"/>
      <c r="BNM41" s="240"/>
      <c r="BNN41" s="239"/>
      <c r="BNO41" s="240"/>
      <c r="BNP41" s="239"/>
      <c r="BNQ41" s="240"/>
      <c r="BNR41" s="239"/>
      <c r="BNS41" s="240"/>
      <c r="BNT41" s="239"/>
      <c r="BNU41" s="240"/>
      <c r="BNV41" s="239"/>
      <c r="BNW41" s="240"/>
      <c r="BNX41" s="239"/>
      <c r="BNY41" s="240"/>
      <c r="BNZ41" s="239"/>
      <c r="BOA41" s="240"/>
      <c r="BOB41" s="239"/>
      <c r="BOC41" s="240"/>
      <c r="BOD41" s="239"/>
      <c r="BOE41" s="240"/>
      <c r="BOF41" s="239"/>
      <c r="BOG41" s="240"/>
      <c r="BOH41" s="239"/>
      <c r="BOI41" s="240"/>
      <c r="BOJ41" s="239"/>
      <c r="BOK41" s="240"/>
      <c r="BOL41" s="239"/>
      <c r="BOM41" s="240"/>
      <c r="BON41" s="239"/>
      <c r="BOO41" s="240"/>
      <c r="BOP41" s="239"/>
      <c r="BOQ41" s="240"/>
      <c r="BOR41" s="239"/>
      <c r="BOS41" s="240"/>
      <c r="BOT41" s="239"/>
      <c r="BOU41" s="240"/>
      <c r="BOV41" s="239"/>
      <c r="BOW41" s="240"/>
      <c r="BOX41" s="239"/>
      <c r="BOY41" s="240"/>
      <c r="BOZ41" s="239"/>
      <c r="BPA41" s="240"/>
      <c r="BPB41" s="239"/>
      <c r="BPC41" s="240"/>
      <c r="BPD41" s="239"/>
      <c r="BPE41" s="240"/>
      <c r="BPF41" s="239"/>
      <c r="BPG41" s="240"/>
      <c r="BPH41" s="239"/>
      <c r="BPI41" s="240"/>
      <c r="BPJ41" s="239"/>
      <c r="BPK41" s="240"/>
      <c r="BPL41" s="239"/>
      <c r="BPM41" s="240"/>
      <c r="BPN41" s="239"/>
      <c r="BPO41" s="240"/>
      <c r="BPP41" s="239"/>
      <c r="BPQ41" s="240"/>
      <c r="BPR41" s="239"/>
      <c r="BPS41" s="240"/>
      <c r="BPT41" s="239"/>
      <c r="BPU41" s="240"/>
      <c r="BPV41" s="239"/>
      <c r="BPW41" s="240"/>
      <c r="BPX41" s="239"/>
      <c r="BPY41" s="240"/>
      <c r="BPZ41" s="239"/>
      <c r="BQA41" s="240"/>
      <c r="BQB41" s="239"/>
      <c r="BQC41" s="240"/>
      <c r="BQD41" s="239"/>
      <c r="BQE41" s="240"/>
      <c r="BQF41" s="239"/>
      <c r="BQG41" s="240"/>
      <c r="BQH41" s="239"/>
      <c r="BQI41" s="240"/>
      <c r="BQJ41" s="239"/>
      <c r="BQK41" s="240"/>
      <c r="BQL41" s="239"/>
      <c r="BQM41" s="240"/>
      <c r="BQN41" s="239"/>
      <c r="BQO41" s="240"/>
      <c r="BQP41" s="239"/>
      <c r="BQQ41" s="240"/>
      <c r="BQR41" s="239"/>
      <c r="BQS41" s="240"/>
      <c r="BQT41" s="239"/>
      <c r="BQU41" s="240"/>
      <c r="BQV41" s="239"/>
      <c r="BQW41" s="240"/>
      <c r="BQX41" s="239"/>
      <c r="BQY41" s="240"/>
      <c r="BQZ41" s="239"/>
      <c r="BRA41" s="240"/>
      <c r="BRB41" s="239"/>
      <c r="BRC41" s="240"/>
      <c r="BRD41" s="239"/>
      <c r="BRE41" s="240"/>
      <c r="BRF41" s="239"/>
      <c r="BRG41" s="240"/>
      <c r="BRH41" s="239"/>
      <c r="BRI41" s="240"/>
      <c r="BRJ41" s="239"/>
      <c r="BRK41" s="240"/>
      <c r="BRL41" s="239"/>
      <c r="BRM41" s="240"/>
      <c r="BRN41" s="239"/>
      <c r="BRO41" s="240"/>
      <c r="BRP41" s="239"/>
      <c r="BRQ41" s="240"/>
      <c r="BRR41" s="239"/>
      <c r="BRS41" s="240"/>
      <c r="BRT41" s="239"/>
      <c r="BRU41" s="240"/>
      <c r="BRV41" s="239"/>
      <c r="BRW41" s="240"/>
      <c r="BRX41" s="239"/>
      <c r="BRY41" s="240"/>
      <c r="BRZ41" s="239"/>
      <c r="BSA41" s="240"/>
      <c r="BSB41" s="239"/>
      <c r="BSC41" s="240"/>
      <c r="BSD41" s="239"/>
      <c r="BSE41" s="240"/>
      <c r="BSF41" s="239"/>
      <c r="BSG41" s="240"/>
      <c r="BSH41" s="239"/>
      <c r="BSI41" s="240"/>
      <c r="BSJ41" s="239"/>
      <c r="BSK41" s="240"/>
      <c r="BSL41" s="239"/>
      <c r="BSM41" s="240"/>
      <c r="BSN41" s="239"/>
      <c r="BSO41" s="240"/>
      <c r="BSP41" s="239"/>
      <c r="BSQ41" s="240"/>
      <c r="BSR41" s="239"/>
      <c r="BSS41" s="240"/>
      <c r="BST41" s="239"/>
      <c r="BSU41" s="240"/>
      <c r="BSV41" s="239"/>
      <c r="BSW41" s="240"/>
      <c r="BSX41" s="239"/>
      <c r="BSY41" s="240"/>
      <c r="BSZ41" s="239"/>
      <c r="BTA41" s="240"/>
      <c r="BTB41" s="239"/>
      <c r="BTC41" s="240"/>
      <c r="BTD41" s="239"/>
      <c r="BTE41" s="240"/>
      <c r="BTF41" s="239"/>
      <c r="BTG41" s="240"/>
      <c r="BTH41" s="239"/>
      <c r="BTI41" s="240"/>
      <c r="BTJ41" s="239"/>
      <c r="BTK41" s="240"/>
      <c r="BTL41" s="239"/>
      <c r="BTM41" s="240"/>
      <c r="BTN41" s="239"/>
      <c r="BTO41" s="240"/>
      <c r="BTP41" s="239"/>
      <c r="BTQ41" s="240"/>
      <c r="BTR41" s="239"/>
      <c r="BTS41" s="240"/>
      <c r="BTT41" s="239"/>
      <c r="BTU41" s="240"/>
      <c r="BTV41" s="239"/>
      <c r="BTW41" s="240"/>
      <c r="BTX41" s="239"/>
      <c r="BTY41" s="240"/>
      <c r="BTZ41" s="239"/>
      <c r="BUA41" s="240"/>
      <c r="BUB41" s="239"/>
      <c r="BUC41" s="240"/>
      <c r="BUD41" s="239"/>
      <c r="BUE41" s="240"/>
      <c r="BUF41" s="239"/>
      <c r="BUG41" s="240"/>
      <c r="BUH41" s="239"/>
      <c r="BUI41" s="240"/>
      <c r="BUJ41" s="239"/>
      <c r="BUK41" s="240"/>
      <c r="BUL41" s="239"/>
      <c r="BUM41" s="240"/>
      <c r="BUN41" s="239"/>
      <c r="BUO41" s="240"/>
      <c r="BUP41" s="239"/>
      <c r="BUQ41" s="240"/>
      <c r="BUR41" s="239"/>
      <c r="BUS41" s="240"/>
      <c r="BUT41" s="239"/>
      <c r="BUU41" s="240"/>
      <c r="BUV41" s="239"/>
      <c r="BUW41" s="240"/>
      <c r="BUX41" s="239"/>
      <c r="BUY41" s="240"/>
      <c r="BUZ41" s="239"/>
      <c r="BVA41" s="240"/>
      <c r="BVB41" s="239"/>
      <c r="BVC41" s="240"/>
      <c r="BVD41" s="239"/>
      <c r="BVE41" s="240"/>
      <c r="BVF41" s="239"/>
      <c r="BVG41" s="240"/>
      <c r="BVH41" s="239"/>
      <c r="BVI41" s="240"/>
      <c r="BVJ41" s="239"/>
      <c r="BVK41" s="240"/>
      <c r="BVL41" s="239"/>
      <c r="BVM41" s="240"/>
      <c r="BVN41" s="239"/>
      <c r="BVO41" s="240"/>
      <c r="BVP41" s="239"/>
      <c r="BVQ41" s="240"/>
      <c r="BVR41" s="239"/>
      <c r="BVS41" s="240"/>
      <c r="BVT41" s="239"/>
      <c r="BVU41" s="240"/>
      <c r="BVV41" s="239"/>
      <c r="BVW41" s="240"/>
      <c r="BVX41" s="239"/>
      <c r="BVY41" s="240"/>
      <c r="BVZ41" s="239"/>
      <c r="BWA41" s="240"/>
      <c r="BWB41" s="239"/>
      <c r="BWC41" s="240"/>
      <c r="BWD41" s="239"/>
      <c r="BWE41" s="240"/>
      <c r="BWF41" s="239"/>
      <c r="BWG41" s="240"/>
      <c r="BWH41" s="239"/>
      <c r="BWI41" s="240"/>
      <c r="BWJ41" s="239"/>
      <c r="BWK41" s="240"/>
      <c r="BWL41" s="239"/>
      <c r="BWM41" s="240"/>
      <c r="BWN41" s="239"/>
      <c r="BWO41" s="240"/>
      <c r="BWP41" s="239"/>
      <c r="BWQ41" s="240"/>
      <c r="BWR41" s="239"/>
      <c r="BWS41" s="240"/>
      <c r="BWT41" s="239"/>
      <c r="BWU41" s="240"/>
      <c r="BWV41" s="239"/>
      <c r="BWW41" s="240"/>
      <c r="BWX41" s="239"/>
      <c r="BWY41" s="240"/>
      <c r="BWZ41" s="239"/>
      <c r="BXA41" s="240"/>
      <c r="BXB41" s="239"/>
      <c r="BXC41" s="240"/>
      <c r="BXD41" s="239"/>
      <c r="BXE41" s="240"/>
      <c r="BXF41" s="239"/>
      <c r="BXG41" s="240"/>
      <c r="BXH41" s="239"/>
      <c r="BXI41" s="240"/>
      <c r="BXJ41" s="239"/>
      <c r="BXK41" s="240"/>
      <c r="BXL41" s="239"/>
      <c r="BXM41" s="240"/>
      <c r="BXN41" s="239"/>
      <c r="BXO41" s="240"/>
      <c r="BXP41" s="239"/>
      <c r="BXQ41" s="240"/>
      <c r="BXR41" s="239"/>
      <c r="BXS41" s="240"/>
      <c r="BXT41" s="239"/>
      <c r="BXU41" s="240"/>
      <c r="BXV41" s="239"/>
      <c r="BXW41" s="240"/>
      <c r="BXX41" s="239"/>
      <c r="BXY41" s="240"/>
      <c r="BXZ41" s="239"/>
      <c r="BYA41" s="240"/>
      <c r="BYB41" s="239"/>
      <c r="BYC41" s="240"/>
      <c r="BYD41" s="239"/>
      <c r="BYE41" s="240"/>
      <c r="BYF41" s="239"/>
      <c r="BYG41" s="240"/>
      <c r="BYH41" s="239"/>
      <c r="BYI41" s="240"/>
      <c r="BYJ41" s="239"/>
      <c r="BYK41" s="240"/>
      <c r="BYL41" s="239"/>
      <c r="BYM41" s="240"/>
      <c r="BYN41" s="239"/>
      <c r="BYO41" s="240"/>
      <c r="BYP41" s="239"/>
      <c r="BYQ41" s="240"/>
      <c r="BYR41" s="239"/>
      <c r="BYS41" s="240"/>
      <c r="BYT41" s="239"/>
      <c r="BYU41" s="240"/>
      <c r="BYV41" s="239"/>
      <c r="BYW41" s="240"/>
      <c r="BYX41" s="239"/>
      <c r="BYY41" s="240"/>
      <c r="BYZ41" s="239"/>
      <c r="BZA41" s="240"/>
      <c r="BZB41" s="239"/>
      <c r="BZC41" s="240"/>
      <c r="BZD41" s="239"/>
      <c r="BZE41" s="240"/>
      <c r="BZF41" s="239"/>
      <c r="BZG41" s="240"/>
      <c r="BZH41" s="239"/>
      <c r="BZI41" s="240"/>
      <c r="BZJ41" s="239"/>
      <c r="BZK41" s="240"/>
      <c r="BZL41" s="239"/>
      <c r="BZM41" s="240"/>
      <c r="BZN41" s="239"/>
      <c r="BZO41" s="240"/>
      <c r="BZP41" s="239"/>
      <c r="BZQ41" s="240"/>
      <c r="BZR41" s="239"/>
      <c r="BZS41" s="240"/>
      <c r="BZT41" s="239"/>
      <c r="BZU41" s="240"/>
      <c r="BZV41" s="239"/>
      <c r="BZW41" s="240"/>
      <c r="BZX41" s="239"/>
      <c r="BZY41" s="240"/>
      <c r="BZZ41" s="239"/>
      <c r="CAA41" s="240"/>
      <c r="CAB41" s="239"/>
      <c r="CAC41" s="240"/>
      <c r="CAD41" s="239"/>
      <c r="CAE41" s="240"/>
      <c r="CAF41" s="239"/>
      <c r="CAG41" s="240"/>
      <c r="CAH41" s="239"/>
      <c r="CAI41" s="240"/>
      <c r="CAJ41" s="239"/>
      <c r="CAK41" s="240"/>
      <c r="CAL41" s="239"/>
      <c r="CAM41" s="240"/>
      <c r="CAN41" s="239"/>
      <c r="CAO41" s="240"/>
      <c r="CAP41" s="239"/>
      <c r="CAQ41" s="240"/>
      <c r="CAR41" s="239"/>
      <c r="CAS41" s="240"/>
      <c r="CAT41" s="239"/>
      <c r="CAU41" s="240"/>
      <c r="CAV41" s="239"/>
      <c r="CAW41" s="240"/>
      <c r="CAX41" s="239"/>
      <c r="CAY41" s="240"/>
      <c r="CAZ41" s="239"/>
      <c r="CBA41" s="240"/>
      <c r="CBB41" s="239"/>
      <c r="CBC41" s="240"/>
      <c r="CBD41" s="239"/>
      <c r="CBE41" s="240"/>
      <c r="CBF41" s="239"/>
      <c r="CBG41" s="240"/>
      <c r="CBH41" s="239"/>
      <c r="CBI41" s="240"/>
      <c r="CBJ41" s="239"/>
      <c r="CBK41" s="240"/>
      <c r="CBL41" s="239"/>
      <c r="CBM41" s="240"/>
      <c r="CBN41" s="239"/>
      <c r="CBO41" s="240"/>
      <c r="CBP41" s="239"/>
      <c r="CBQ41" s="240"/>
      <c r="CBR41" s="239"/>
      <c r="CBS41" s="240"/>
      <c r="CBT41" s="239"/>
      <c r="CBU41" s="240"/>
      <c r="CBV41" s="239"/>
      <c r="CBW41" s="240"/>
      <c r="CBX41" s="239"/>
      <c r="CBY41" s="240"/>
      <c r="CBZ41" s="239"/>
      <c r="CCA41" s="240"/>
      <c r="CCB41" s="239"/>
      <c r="CCC41" s="240"/>
      <c r="CCD41" s="239"/>
      <c r="CCE41" s="240"/>
      <c r="CCF41" s="239"/>
      <c r="CCG41" s="240"/>
      <c r="CCH41" s="239"/>
      <c r="CCI41" s="240"/>
      <c r="CCJ41" s="239"/>
      <c r="CCK41" s="240"/>
      <c r="CCL41" s="239"/>
      <c r="CCM41" s="240"/>
      <c r="CCN41" s="239"/>
      <c r="CCO41" s="240"/>
      <c r="CCP41" s="239"/>
      <c r="CCQ41" s="240"/>
      <c r="CCR41" s="239"/>
      <c r="CCS41" s="240"/>
      <c r="CCT41" s="239"/>
      <c r="CCU41" s="240"/>
      <c r="CCV41" s="239"/>
      <c r="CCW41" s="240"/>
      <c r="CCX41" s="239"/>
      <c r="CCY41" s="240"/>
      <c r="CCZ41" s="239"/>
      <c r="CDA41" s="240"/>
      <c r="CDB41" s="239"/>
      <c r="CDC41" s="240"/>
      <c r="CDD41" s="239"/>
      <c r="CDE41" s="240"/>
      <c r="CDF41" s="239"/>
      <c r="CDG41" s="240"/>
      <c r="CDH41" s="239"/>
      <c r="CDI41" s="240"/>
      <c r="CDJ41" s="239"/>
      <c r="CDK41" s="240"/>
      <c r="CDL41" s="239"/>
      <c r="CDM41" s="240"/>
      <c r="CDN41" s="239"/>
      <c r="CDO41" s="240"/>
      <c r="CDP41" s="239"/>
      <c r="CDQ41" s="240"/>
      <c r="CDR41" s="239"/>
      <c r="CDS41" s="240"/>
      <c r="CDT41" s="239"/>
      <c r="CDU41" s="240"/>
      <c r="CDV41" s="239"/>
      <c r="CDW41" s="240"/>
      <c r="CDX41" s="239"/>
      <c r="CDY41" s="240"/>
      <c r="CDZ41" s="239"/>
      <c r="CEA41" s="240"/>
      <c r="CEB41" s="239"/>
      <c r="CEC41" s="240"/>
      <c r="CED41" s="239"/>
      <c r="CEE41" s="240"/>
      <c r="CEF41" s="239"/>
      <c r="CEG41" s="240"/>
      <c r="CEH41" s="239"/>
      <c r="CEI41" s="240"/>
      <c r="CEJ41" s="239"/>
      <c r="CEK41" s="240"/>
      <c r="CEL41" s="239"/>
      <c r="CEM41" s="240"/>
      <c r="CEN41" s="239"/>
      <c r="CEO41" s="240"/>
      <c r="CEP41" s="239"/>
      <c r="CEQ41" s="240"/>
      <c r="CER41" s="239"/>
      <c r="CES41" s="240"/>
      <c r="CET41" s="239"/>
      <c r="CEU41" s="240"/>
      <c r="CEV41" s="239"/>
      <c r="CEW41" s="240"/>
      <c r="CEX41" s="239"/>
      <c r="CEY41" s="240"/>
      <c r="CEZ41" s="239"/>
      <c r="CFA41" s="240"/>
      <c r="CFB41" s="239"/>
      <c r="CFC41" s="240"/>
      <c r="CFD41" s="239"/>
      <c r="CFE41" s="240"/>
      <c r="CFF41" s="239"/>
      <c r="CFG41" s="240"/>
      <c r="CFH41" s="239"/>
      <c r="CFI41" s="240"/>
      <c r="CFJ41" s="239"/>
      <c r="CFK41" s="240"/>
      <c r="CFL41" s="239"/>
      <c r="CFM41" s="240"/>
      <c r="CFN41" s="239"/>
      <c r="CFO41" s="240"/>
      <c r="CFP41" s="239"/>
      <c r="CFQ41" s="240"/>
      <c r="CFR41" s="239"/>
      <c r="CFS41" s="240"/>
      <c r="CFT41" s="239"/>
      <c r="CFU41" s="240"/>
      <c r="CFV41" s="239"/>
      <c r="CFW41" s="240"/>
      <c r="CFX41" s="239"/>
      <c r="CFY41" s="240"/>
      <c r="CFZ41" s="239"/>
      <c r="CGA41" s="240"/>
      <c r="CGB41" s="239"/>
      <c r="CGC41" s="240"/>
      <c r="CGD41" s="239"/>
      <c r="CGE41" s="240"/>
      <c r="CGF41" s="239"/>
      <c r="CGG41" s="240"/>
      <c r="CGH41" s="239"/>
      <c r="CGI41" s="240"/>
      <c r="CGJ41" s="239"/>
      <c r="CGK41" s="240"/>
      <c r="CGL41" s="239"/>
      <c r="CGM41" s="240"/>
      <c r="CGN41" s="239"/>
      <c r="CGO41" s="240"/>
      <c r="CGP41" s="239"/>
      <c r="CGQ41" s="240"/>
      <c r="CGR41" s="239"/>
      <c r="CGS41" s="240"/>
      <c r="CGT41" s="239"/>
      <c r="CGU41" s="240"/>
      <c r="CGV41" s="239"/>
      <c r="CGW41" s="240"/>
      <c r="CGX41" s="239"/>
      <c r="CGY41" s="240"/>
      <c r="CGZ41" s="239"/>
      <c r="CHA41" s="240"/>
      <c r="CHB41" s="239"/>
      <c r="CHC41" s="240"/>
      <c r="CHD41" s="239"/>
      <c r="CHE41" s="240"/>
      <c r="CHF41" s="239"/>
      <c r="CHG41" s="240"/>
      <c r="CHH41" s="239"/>
      <c r="CHI41" s="240"/>
      <c r="CHJ41" s="239"/>
      <c r="CHK41" s="240"/>
      <c r="CHL41" s="239"/>
      <c r="CHM41" s="240"/>
      <c r="CHN41" s="239"/>
      <c r="CHO41" s="240"/>
      <c r="CHP41" s="239"/>
      <c r="CHQ41" s="240"/>
      <c r="CHR41" s="239"/>
      <c r="CHS41" s="240"/>
      <c r="CHT41" s="239"/>
      <c r="CHU41" s="240"/>
      <c r="CHV41" s="239"/>
      <c r="CHW41" s="240"/>
      <c r="CHX41" s="239"/>
      <c r="CHY41" s="240"/>
      <c r="CHZ41" s="239"/>
      <c r="CIA41" s="240"/>
      <c r="CIB41" s="239"/>
      <c r="CIC41" s="240"/>
      <c r="CID41" s="239"/>
      <c r="CIE41" s="240"/>
      <c r="CIF41" s="239"/>
      <c r="CIG41" s="240"/>
      <c r="CIH41" s="239"/>
      <c r="CII41" s="240"/>
      <c r="CIJ41" s="239"/>
      <c r="CIK41" s="240"/>
      <c r="CIL41" s="239"/>
      <c r="CIM41" s="240"/>
      <c r="CIN41" s="239"/>
      <c r="CIO41" s="240"/>
      <c r="CIP41" s="239"/>
      <c r="CIQ41" s="240"/>
      <c r="CIR41" s="239"/>
      <c r="CIS41" s="240"/>
      <c r="CIT41" s="239"/>
      <c r="CIU41" s="240"/>
      <c r="CIV41" s="239"/>
      <c r="CIW41" s="240"/>
      <c r="CIX41" s="239"/>
      <c r="CIY41" s="240"/>
      <c r="CIZ41" s="239"/>
      <c r="CJA41" s="240"/>
      <c r="CJB41" s="239"/>
      <c r="CJC41" s="240"/>
      <c r="CJD41" s="239"/>
      <c r="CJE41" s="240"/>
      <c r="CJF41" s="239"/>
      <c r="CJG41" s="240"/>
      <c r="CJH41" s="239"/>
      <c r="CJI41" s="240"/>
      <c r="CJJ41" s="239"/>
      <c r="CJK41" s="240"/>
      <c r="CJL41" s="239"/>
      <c r="CJM41" s="240"/>
      <c r="CJN41" s="239"/>
      <c r="CJO41" s="240"/>
      <c r="CJP41" s="239"/>
      <c r="CJQ41" s="240"/>
      <c r="CJR41" s="239"/>
      <c r="CJS41" s="240"/>
      <c r="CJT41" s="239"/>
      <c r="CJU41" s="240"/>
      <c r="CJV41" s="239"/>
      <c r="CJW41" s="240"/>
      <c r="CJX41" s="239"/>
      <c r="CJY41" s="240"/>
      <c r="CJZ41" s="239"/>
      <c r="CKA41" s="240"/>
      <c r="CKB41" s="239"/>
      <c r="CKC41" s="240"/>
      <c r="CKD41" s="239"/>
      <c r="CKE41" s="240"/>
      <c r="CKF41" s="239"/>
      <c r="CKG41" s="240"/>
      <c r="CKH41" s="239"/>
      <c r="CKI41" s="240"/>
      <c r="CKJ41" s="239"/>
      <c r="CKK41" s="240"/>
      <c r="CKL41" s="239"/>
      <c r="CKM41" s="240"/>
      <c r="CKN41" s="239"/>
      <c r="CKO41" s="240"/>
      <c r="CKP41" s="239"/>
      <c r="CKQ41" s="240"/>
      <c r="CKR41" s="239"/>
      <c r="CKS41" s="240"/>
      <c r="CKT41" s="239"/>
      <c r="CKU41" s="240"/>
      <c r="CKV41" s="239"/>
      <c r="CKW41" s="240"/>
      <c r="CKX41" s="239"/>
      <c r="CKY41" s="240"/>
      <c r="CKZ41" s="239"/>
      <c r="CLA41" s="240"/>
      <c r="CLB41" s="239"/>
      <c r="CLC41" s="240"/>
      <c r="CLD41" s="239"/>
      <c r="CLE41" s="240"/>
      <c r="CLF41" s="239"/>
      <c r="CLG41" s="240"/>
      <c r="CLH41" s="239"/>
      <c r="CLI41" s="240"/>
      <c r="CLJ41" s="239"/>
      <c r="CLK41" s="240"/>
      <c r="CLL41" s="239"/>
      <c r="CLM41" s="240"/>
      <c r="CLN41" s="239"/>
      <c r="CLO41" s="240"/>
      <c r="CLP41" s="239"/>
      <c r="CLQ41" s="240"/>
      <c r="CLR41" s="239"/>
      <c r="CLS41" s="240"/>
      <c r="CLT41" s="239"/>
      <c r="CLU41" s="240"/>
      <c r="CLV41" s="239"/>
      <c r="CLW41" s="240"/>
      <c r="CLX41" s="239"/>
      <c r="CLY41" s="240"/>
      <c r="CLZ41" s="239"/>
      <c r="CMA41" s="240"/>
      <c r="CMB41" s="239"/>
      <c r="CMC41" s="240"/>
      <c r="CMD41" s="239"/>
      <c r="CME41" s="240"/>
      <c r="CMF41" s="239"/>
      <c r="CMG41" s="240"/>
      <c r="CMH41" s="239"/>
      <c r="CMI41" s="240"/>
      <c r="CMJ41" s="239"/>
      <c r="CMK41" s="240"/>
      <c r="CML41" s="239"/>
      <c r="CMM41" s="240"/>
      <c r="CMN41" s="239"/>
      <c r="CMO41" s="240"/>
      <c r="CMP41" s="239"/>
      <c r="CMQ41" s="240"/>
      <c r="CMR41" s="239"/>
      <c r="CMS41" s="240"/>
      <c r="CMT41" s="239"/>
      <c r="CMU41" s="240"/>
      <c r="CMV41" s="239"/>
      <c r="CMW41" s="240"/>
      <c r="CMX41" s="239"/>
      <c r="CMY41" s="240"/>
      <c r="CMZ41" s="239"/>
      <c r="CNA41" s="240"/>
      <c r="CNB41" s="239"/>
      <c r="CNC41" s="240"/>
      <c r="CND41" s="239"/>
      <c r="CNE41" s="240"/>
      <c r="CNF41" s="239"/>
      <c r="CNG41" s="240"/>
      <c r="CNH41" s="239"/>
      <c r="CNI41" s="240"/>
      <c r="CNJ41" s="239"/>
      <c r="CNK41" s="240"/>
      <c r="CNL41" s="239"/>
      <c r="CNM41" s="240"/>
      <c r="CNN41" s="239"/>
      <c r="CNO41" s="240"/>
      <c r="CNP41" s="239"/>
      <c r="CNQ41" s="240"/>
      <c r="CNR41" s="239"/>
      <c r="CNS41" s="240"/>
      <c r="CNT41" s="239"/>
      <c r="CNU41" s="240"/>
      <c r="CNV41" s="239"/>
      <c r="CNW41" s="240"/>
      <c r="CNX41" s="239"/>
      <c r="CNY41" s="240"/>
      <c r="CNZ41" s="239"/>
      <c r="COA41" s="240"/>
      <c r="COB41" s="239"/>
      <c r="COC41" s="240"/>
      <c r="COD41" s="239"/>
      <c r="COE41" s="240"/>
      <c r="COF41" s="239"/>
      <c r="COG41" s="240"/>
      <c r="COH41" s="239"/>
      <c r="COI41" s="240"/>
      <c r="COJ41" s="239"/>
      <c r="COK41" s="240"/>
      <c r="COL41" s="239"/>
      <c r="COM41" s="240"/>
      <c r="CON41" s="239"/>
      <c r="COO41" s="240"/>
      <c r="COP41" s="239"/>
      <c r="COQ41" s="240"/>
      <c r="COR41" s="239"/>
      <c r="COS41" s="240"/>
      <c r="COT41" s="239"/>
      <c r="COU41" s="240"/>
      <c r="COV41" s="239"/>
      <c r="COW41" s="240"/>
      <c r="COX41" s="239"/>
      <c r="COY41" s="240"/>
      <c r="COZ41" s="239"/>
      <c r="CPA41" s="240"/>
      <c r="CPB41" s="239"/>
      <c r="CPC41" s="240"/>
      <c r="CPD41" s="239"/>
      <c r="CPE41" s="240"/>
      <c r="CPF41" s="239"/>
      <c r="CPG41" s="240"/>
      <c r="CPH41" s="239"/>
      <c r="CPI41" s="240"/>
      <c r="CPJ41" s="239"/>
      <c r="CPK41" s="240"/>
      <c r="CPL41" s="239"/>
      <c r="CPM41" s="240"/>
      <c r="CPN41" s="239"/>
      <c r="CPO41" s="240"/>
      <c r="CPP41" s="239"/>
      <c r="CPQ41" s="240"/>
      <c r="CPR41" s="239"/>
      <c r="CPS41" s="240"/>
      <c r="CPT41" s="239"/>
      <c r="CPU41" s="240"/>
      <c r="CPV41" s="239"/>
      <c r="CPW41" s="240"/>
      <c r="CPX41" s="239"/>
      <c r="CPY41" s="240"/>
      <c r="CPZ41" s="239"/>
      <c r="CQA41" s="240"/>
      <c r="CQB41" s="239"/>
      <c r="CQC41" s="240"/>
      <c r="CQD41" s="239"/>
      <c r="CQE41" s="240"/>
      <c r="CQF41" s="239"/>
      <c r="CQG41" s="240"/>
      <c r="CQH41" s="239"/>
      <c r="CQI41" s="240"/>
      <c r="CQJ41" s="239"/>
      <c r="CQK41" s="240"/>
      <c r="CQL41" s="239"/>
      <c r="CQM41" s="240"/>
      <c r="CQN41" s="239"/>
      <c r="CQO41" s="240"/>
      <c r="CQP41" s="239"/>
      <c r="CQQ41" s="240"/>
      <c r="CQR41" s="239"/>
      <c r="CQS41" s="240"/>
      <c r="CQT41" s="239"/>
      <c r="CQU41" s="240"/>
      <c r="CQV41" s="239"/>
      <c r="CQW41" s="240"/>
      <c r="CQX41" s="239"/>
      <c r="CQY41" s="240"/>
      <c r="CQZ41" s="239"/>
      <c r="CRA41" s="240"/>
      <c r="CRB41" s="239"/>
      <c r="CRC41" s="240"/>
      <c r="CRD41" s="239"/>
      <c r="CRE41" s="240"/>
      <c r="CRF41" s="239"/>
      <c r="CRG41" s="240"/>
      <c r="CRH41" s="239"/>
      <c r="CRI41" s="240"/>
      <c r="CRJ41" s="239"/>
      <c r="CRK41" s="240"/>
      <c r="CRL41" s="239"/>
      <c r="CRM41" s="240"/>
      <c r="CRN41" s="239"/>
      <c r="CRO41" s="240"/>
      <c r="CRP41" s="239"/>
      <c r="CRQ41" s="240"/>
      <c r="CRR41" s="239"/>
      <c r="CRS41" s="240"/>
      <c r="CRT41" s="239"/>
      <c r="CRU41" s="240"/>
      <c r="CRV41" s="239"/>
      <c r="CRW41" s="240"/>
      <c r="CRX41" s="239"/>
      <c r="CRY41" s="240"/>
      <c r="CRZ41" s="239"/>
      <c r="CSA41" s="240"/>
      <c r="CSB41" s="239"/>
      <c r="CSC41" s="240"/>
      <c r="CSD41" s="239"/>
      <c r="CSE41" s="240"/>
      <c r="CSF41" s="239"/>
      <c r="CSG41" s="240"/>
      <c r="CSH41" s="239"/>
      <c r="CSI41" s="240"/>
      <c r="CSJ41" s="239"/>
      <c r="CSK41" s="240"/>
      <c r="CSL41" s="239"/>
      <c r="CSM41" s="240"/>
      <c r="CSN41" s="239"/>
      <c r="CSO41" s="240"/>
      <c r="CSP41" s="239"/>
      <c r="CSQ41" s="240"/>
      <c r="CSR41" s="239"/>
      <c r="CSS41" s="240"/>
      <c r="CST41" s="239"/>
      <c r="CSU41" s="240"/>
      <c r="CSV41" s="239"/>
      <c r="CSW41" s="240"/>
      <c r="CSX41" s="239"/>
      <c r="CSY41" s="240"/>
      <c r="CSZ41" s="239"/>
      <c r="CTA41" s="240"/>
      <c r="CTB41" s="239"/>
      <c r="CTC41" s="240"/>
      <c r="CTD41" s="239"/>
      <c r="CTE41" s="240"/>
      <c r="CTF41" s="239"/>
      <c r="CTG41" s="240"/>
      <c r="CTH41" s="239"/>
      <c r="CTI41" s="240"/>
      <c r="CTJ41" s="239"/>
      <c r="CTK41" s="240"/>
      <c r="CTL41" s="239"/>
      <c r="CTM41" s="240"/>
      <c r="CTN41" s="239"/>
      <c r="CTO41" s="240"/>
      <c r="CTP41" s="239"/>
      <c r="CTQ41" s="240"/>
      <c r="CTR41" s="239"/>
      <c r="CTS41" s="240"/>
      <c r="CTT41" s="239"/>
      <c r="CTU41" s="240"/>
      <c r="CTV41" s="239"/>
      <c r="CTW41" s="240"/>
      <c r="CTX41" s="239"/>
      <c r="CTY41" s="240"/>
      <c r="CTZ41" s="239"/>
      <c r="CUA41" s="240"/>
      <c r="CUB41" s="239"/>
      <c r="CUC41" s="240"/>
      <c r="CUD41" s="239"/>
      <c r="CUE41" s="240"/>
      <c r="CUF41" s="239"/>
      <c r="CUG41" s="240"/>
      <c r="CUH41" s="239"/>
      <c r="CUI41" s="240"/>
      <c r="CUJ41" s="239"/>
      <c r="CUK41" s="240"/>
      <c r="CUL41" s="239"/>
      <c r="CUM41" s="240"/>
      <c r="CUN41" s="239"/>
      <c r="CUO41" s="240"/>
      <c r="CUP41" s="239"/>
      <c r="CUQ41" s="240"/>
      <c r="CUR41" s="239"/>
      <c r="CUS41" s="240"/>
      <c r="CUT41" s="239"/>
      <c r="CUU41" s="240"/>
      <c r="CUV41" s="239"/>
      <c r="CUW41" s="240"/>
      <c r="CUX41" s="239"/>
      <c r="CUY41" s="240"/>
      <c r="CUZ41" s="239"/>
      <c r="CVA41" s="240"/>
      <c r="CVB41" s="239"/>
      <c r="CVC41" s="240"/>
      <c r="CVD41" s="239"/>
      <c r="CVE41" s="240"/>
      <c r="CVF41" s="239"/>
      <c r="CVG41" s="240"/>
      <c r="CVH41" s="239"/>
      <c r="CVI41" s="240"/>
      <c r="CVJ41" s="239"/>
      <c r="CVK41" s="240"/>
      <c r="CVL41" s="239"/>
      <c r="CVM41" s="240"/>
      <c r="CVN41" s="239"/>
      <c r="CVO41" s="240"/>
      <c r="CVP41" s="239"/>
      <c r="CVQ41" s="240"/>
      <c r="CVR41" s="239"/>
      <c r="CVS41" s="240"/>
      <c r="CVT41" s="239"/>
      <c r="CVU41" s="240"/>
      <c r="CVV41" s="239"/>
      <c r="CVW41" s="240"/>
      <c r="CVX41" s="239"/>
      <c r="CVY41" s="240"/>
      <c r="CVZ41" s="239"/>
      <c r="CWA41" s="240"/>
      <c r="CWB41" s="239"/>
      <c r="CWC41" s="240"/>
      <c r="CWD41" s="239"/>
      <c r="CWE41" s="240"/>
      <c r="CWF41" s="239"/>
      <c r="CWG41" s="240"/>
      <c r="CWH41" s="239"/>
      <c r="CWI41" s="240"/>
      <c r="CWJ41" s="239"/>
      <c r="CWK41" s="240"/>
      <c r="CWL41" s="239"/>
      <c r="CWM41" s="240"/>
      <c r="CWN41" s="239"/>
      <c r="CWO41" s="240"/>
      <c r="CWP41" s="239"/>
      <c r="CWQ41" s="240"/>
      <c r="CWR41" s="239"/>
      <c r="CWS41" s="240"/>
      <c r="CWT41" s="239"/>
      <c r="CWU41" s="240"/>
      <c r="CWV41" s="239"/>
      <c r="CWW41" s="240"/>
      <c r="CWX41" s="239"/>
      <c r="CWY41" s="240"/>
      <c r="CWZ41" s="239"/>
      <c r="CXA41" s="240"/>
      <c r="CXB41" s="239"/>
      <c r="CXC41" s="240"/>
      <c r="CXD41" s="239"/>
      <c r="CXE41" s="240"/>
      <c r="CXF41" s="239"/>
      <c r="CXG41" s="240"/>
      <c r="CXH41" s="239"/>
      <c r="CXI41" s="240"/>
      <c r="CXJ41" s="239"/>
      <c r="CXK41" s="240"/>
      <c r="CXL41" s="239"/>
      <c r="CXM41" s="240"/>
      <c r="CXN41" s="239"/>
      <c r="CXO41" s="240"/>
      <c r="CXP41" s="239"/>
      <c r="CXQ41" s="240"/>
      <c r="CXR41" s="239"/>
      <c r="CXS41" s="240"/>
      <c r="CXT41" s="239"/>
      <c r="CXU41" s="240"/>
      <c r="CXV41" s="239"/>
      <c r="CXW41" s="240"/>
      <c r="CXX41" s="239"/>
      <c r="CXY41" s="240"/>
      <c r="CXZ41" s="239"/>
      <c r="CYA41" s="240"/>
      <c r="CYB41" s="239"/>
      <c r="CYC41" s="240"/>
      <c r="CYD41" s="239"/>
      <c r="CYE41" s="240"/>
      <c r="CYF41" s="239"/>
      <c r="CYG41" s="240"/>
      <c r="CYH41" s="239"/>
      <c r="CYI41" s="240"/>
      <c r="CYJ41" s="239"/>
      <c r="CYK41" s="240"/>
      <c r="CYL41" s="239"/>
      <c r="CYM41" s="240"/>
      <c r="CYN41" s="239"/>
      <c r="CYO41" s="240"/>
      <c r="CYP41" s="239"/>
      <c r="CYQ41" s="240"/>
      <c r="CYR41" s="239"/>
      <c r="CYS41" s="240"/>
      <c r="CYT41" s="239"/>
      <c r="CYU41" s="240"/>
      <c r="CYV41" s="239"/>
      <c r="CYW41" s="240"/>
      <c r="CYX41" s="239"/>
      <c r="CYY41" s="240"/>
      <c r="CYZ41" s="239"/>
      <c r="CZA41" s="240"/>
      <c r="CZB41" s="239"/>
      <c r="CZC41" s="240"/>
      <c r="CZD41" s="239"/>
      <c r="CZE41" s="240"/>
      <c r="CZF41" s="239"/>
      <c r="CZG41" s="240"/>
      <c r="CZH41" s="239"/>
      <c r="CZI41" s="240"/>
      <c r="CZJ41" s="239"/>
      <c r="CZK41" s="240"/>
      <c r="CZL41" s="239"/>
      <c r="CZM41" s="240"/>
      <c r="CZN41" s="239"/>
      <c r="CZO41" s="240"/>
      <c r="CZP41" s="239"/>
      <c r="CZQ41" s="240"/>
      <c r="CZR41" s="239"/>
      <c r="CZS41" s="240"/>
      <c r="CZT41" s="239"/>
      <c r="CZU41" s="240"/>
      <c r="CZV41" s="239"/>
      <c r="CZW41" s="240"/>
      <c r="CZX41" s="239"/>
      <c r="CZY41" s="240"/>
      <c r="CZZ41" s="239"/>
      <c r="DAA41" s="240"/>
      <c r="DAB41" s="239"/>
      <c r="DAC41" s="240"/>
      <c r="DAD41" s="239"/>
      <c r="DAE41" s="240"/>
      <c r="DAF41" s="239"/>
      <c r="DAG41" s="240"/>
      <c r="DAH41" s="239"/>
      <c r="DAI41" s="240"/>
      <c r="DAJ41" s="239"/>
      <c r="DAK41" s="240"/>
      <c r="DAL41" s="239"/>
      <c r="DAM41" s="240"/>
      <c r="DAN41" s="239"/>
      <c r="DAO41" s="240"/>
      <c r="DAP41" s="239"/>
      <c r="DAQ41" s="240"/>
      <c r="DAR41" s="239"/>
      <c r="DAS41" s="240"/>
      <c r="DAT41" s="239"/>
      <c r="DAU41" s="240"/>
      <c r="DAV41" s="239"/>
      <c r="DAW41" s="240"/>
      <c r="DAX41" s="239"/>
      <c r="DAY41" s="240"/>
      <c r="DAZ41" s="239"/>
      <c r="DBA41" s="240"/>
      <c r="DBB41" s="239"/>
      <c r="DBC41" s="240"/>
      <c r="DBD41" s="239"/>
      <c r="DBE41" s="240"/>
      <c r="DBF41" s="239"/>
      <c r="DBG41" s="240"/>
      <c r="DBH41" s="239"/>
      <c r="DBI41" s="240"/>
      <c r="DBJ41" s="239"/>
      <c r="DBK41" s="240"/>
      <c r="DBL41" s="239"/>
      <c r="DBM41" s="240"/>
      <c r="DBN41" s="239"/>
      <c r="DBO41" s="240"/>
      <c r="DBP41" s="239"/>
      <c r="DBQ41" s="240"/>
      <c r="DBR41" s="239"/>
      <c r="DBS41" s="240"/>
      <c r="DBT41" s="239"/>
      <c r="DBU41" s="240"/>
      <c r="DBV41" s="239"/>
      <c r="DBW41" s="240"/>
      <c r="DBX41" s="239"/>
      <c r="DBY41" s="240"/>
      <c r="DBZ41" s="239"/>
      <c r="DCA41" s="240"/>
      <c r="DCB41" s="239"/>
      <c r="DCC41" s="240"/>
      <c r="DCD41" s="239"/>
      <c r="DCE41" s="240"/>
      <c r="DCF41" s="239"/>
      <c r="DCG41" s="240"/>
      <c r="DCH41" s="239"/>
      <c r="DCI41" s="240"/>
      <c r="DCJ41" s="239"/>
      <c r="DCK41" s="240"/>
      <c r="DCL41" s="239"/>
      <c r="DCM41" s="240"/>
      <c r="DCN41" s="239"/>
      <c r="DCO41" s="240"/>
      <c r="DCP41" s="239"/>
      <c r="DCQ41" s="240"/>
      <c r="DCR41" s="239"/>
      <c r="DCS41" s="240"/>
      <c r="DCT41" s="239"/>
      <c r="DCU41" s="240"/>
      <c r="DCV41" s="239"/>
      <c r="DCW41" s="240"/>
      <c r="DCX41" s="239"/>
      <c r="DCY41" s="240"/>
      <c r="DCZ41" s="239"/>
      <c r="DDA41" s="240"/>
      <c r="DDB41" s="239"/>
      <c r="DDC41" s="240"/>
      <c r="DDD41" s="239"/>
      <c r="DDE41" s="240"/>
      <c r="DDF41" s="239"/>
      <c r="DDG41" s="240"/>
      <c r="DDH41" s="239"/>
      <c r="DDI41" s="240"/>
      <c r="DDJ41" s="239"/>
      <c r="DDK41" s="240"/>
      <c r="DDL41" s="239"/>
      <c r="DDM41" s="240"/>
      <c r="DDN41" s="239"/>
      <c r="DDO41" s="240"/>
      <c r="DDP41" s="239"/>
      <c r="DDQ41" s="240"/>
      <c r="DDR41" s="239"/>
      <c r="DDS41" s="240"/>
      <c r="DDT41" s="239"/>
      <c r="DDU41" s="240"/>
      <c r="DDV41" s="239"/>
      <c r="DDW41" s="240"/>
      <c r="DDX41" s="239"/>
      <c r="DDY41" s="240"/>
      <c r="DDZ41" s="239"/>
      <c r="DEA41" s="240"/>
      <c r="DEB41" s="239"/>
      <c r="DEC41" s="240"/>
      <c r="DED41" s="239"/>
      <c r="DEE41" s="240"/>
      <c r="DEF41" s="239"/>
      <c r="DEG41" s="240"/>
      <c r="DEH41" s="239"/>
      <c r="DEI41" s="240"/>
      <c r="DEJ41" s="239"/>
      <c r="DEK41" s="240"/>
      <c r="DEL41" s="239"/>
      <c r="DEM41" s="240"/>
      <c r="DEN41" s="239"/>
      <c r="DEO41" s="240"/>
      <c r="DEP41" s="239"/>
      <c r="DEQ41" s="240"/>
      <c r="DER41" s="239"/>
      <c r="DES41" s="240"/>
      <c r="DET41" s="239"/>
      <c r="DEU41" s="240"/>
      <c r="DEV41" s="239"/>
      <c r="DEW41" s="240"/>
      <c r="DEX41" s="239"/>
      <c r="DEY41" s="240"/>
      <c r="DEZ41" s="239"/>
      <c r="DFA41" s="240"/>
      <c r="DFB41" s="239"/>
      <c r="DFC41" s="240"/>
      <c r="DFD41" s="239"/>
      <c r="DFE41" s="240"/>
      <c r="DFF41" s="239"/>
      <c r="DFG41" s="240"/>
      <c r="DFH41" s="239"/>
      <c r="DFI41" s="240"/>
      <c r="DFJ41" s="239"/>
      <c r="DFK41" s="240"/>
      <c r="DFL41" s="239"/>
      <c r="DFM41" s="240"/>
      <c r="DFN41" s="239"/>
      <c r="DFO41" s="240"/>
      <c r="DFP41" s="239"/>
      <c r="DFQ41" s="240"/>
      <c r="DFR41" s="239"/>
      <c r="DFS41" s="240"/>
      <c r="DFT41" s="239"/>
      <c r="DFU41" s="240"/>
      <c r="DFV41" s="239"/>
      <c r="DFW41" s="240"/>
      <c r="DFX41" s="239"/>
      <c r="DFY41" s="240"/>
      <c r="DFZ41" s="239"/>
      <c r="DGA41" s="240"/>
      <c r="DGB41" s="239"/>
      <c r="DGC41" s="240"/>
      <c r="DGD41" s="239"/>
      <c r="DGE41" s="240"/>
      <c r="DGF41" s="239"/>
      <c r="DGG41" s="240"/>
      <c r="DGH41" s="239"/>
      <c r="DGI41" s="240"/>
      <c r="DGJ41" s="239"/>
      <c r="DGK41" s="240"/>
      <c r="DGL41" s="239"/>
      <c r="DGM41" s="240"/>
      <c r="DGN41" s="239"/>
      <c r="DGO41" s="240"/>
      <c r="DGP41" s="239"/>
      <c r="DGQ41" s="240"/>
      <c r="DGR41" s="239"/>
      <c r="DGS41" s="240"/>
      <c r="DGT41" s="239"/>
      <c r="DGU41" s="240"/>
      <c r="DGV41" s="239"/>
      <c r="DGW41" s="240"/>
      <c r="DGX41" s="239"/>
      <c r="DGY41" s="240"/>
      <c r="DGZ41" s="239"/>
      <c r="DHA41" s="240"/>
      <c r="DHB41" s="239"/>
      <c r="DHC41" s="240"/>
      <c r="DHD41" s="239"/>
      <c r="DHE41" s="240"/>
      <c r="DHF41" s="239"/>
      <c r="DHG41" s="240"/>
      <c r="DHH41" s="239"/>
      <c r="DHI41" s="240"/>
      <c r="DHJ41" s="239"/>
      <c r="DHK41" s="240"/>
      <c r="DHL41" s="239"/>
      <c r="DHM41" s="240"/>
      <c r="DHN41" s="239"/>
      <c r="DHO41" s="240"/>
      <c r="DHP41" s="239"/>
      <c r="DHQ41" s="240"/>
      <c r="DHR41" s="239"/>
      <c r="DHS41" s="240"/>
      <c r="DHT41" s="239"/>
      <c r="DHU41" s="240"/>
      <c r="DHV41" s="239"/>
      <c r="DHW41" s="240"/>
      <c r="DHX41" s="239"/>
      <c r="DHY41" s="240"/>
      <c r="DHZ41" s="239"/>
      <c r="DIA41" s="240"/>
      <c r="DIB41" s="239"/>
      <c r="DIC41" s="240"/>
      <c r="DID41" s="239"/>
      <c r="DIE41" s="240"/>
      <c r="DIF41" s="239"/>
      <c r="DIG41" s="240"/>
      <c r="DIH41" s="239"/>
      <c r="DII41" s="240"/>
      <c r="DIJ41" s="239"/>
      <c r="DIK41" s="240"/>
      <c r="DIL41" s="239"/>
      <c r="DIM41" s="240"/>
      <c r="DIN41" s="239"/>
      <c r="DIO41" s="240"/>
      <c r="DIP41" s="239"/>
      <c r="DIQ41" s="240"/>
      <c r="DIR41" s="239"/>
      <c r="DIS41" s="240"/>
      <c r="DIT41" s="239"/>
      <c r="DIU41" s="240"/>
      <c r="DIV41" s="239"/>
      <c r="DIW41" s="240"/>
      <c r="DIX41" s="239"/>
      <c r="DIY41" s="240"/>
      <c r="DIZ41" s="239"/>
      <c r="DJA41" s="240"/>
      <c r="DJB41" s="239"/>
      <c r="DJC41" s="240"/>
      <c r="DJD41" s="239"/>
      <c r="DJE41" s="240"/>
      <c r="DJF41" s="239"/>
      <c r="DJG41" s="240"/>
      <c r="DJH41" s="239"/>
      <c r="DJI41" s="240"/>
      <c r="DJJ41" s="239"/>
      <c r="DJK41" s="240"/>
      <c r="DJL41" s="239"/>
      <c r="DJM41" s="240"/>
      <c r="DJN41" s="239"/>
      <c r="DJO41" s="240"/>
      <c r="DJP41" s="239"/>
      <c r="DJQ41" s="240"/>
      <c r="DJR41" s="239"/>
      <c r="DJS41" s="240"/>
      <c r="DJT41" s="239"/>
      <c r="DJU41" s="240"/>
      <c r="DJV41" s="239"/>
      <c r="DJW41" s="240"/>
      <c r="DJX41" s="239"/>
      <c r="DJY41" s="240"/>
      <c r="DJZ41" s="239"/>
      <c r="DKA41" s="240"/>
      <c r="DKB41" s="239"/>
      <c r="DKC41" s="240"/>
      <c r="DKD41" s="239"/>
      <c r="DKE41" s="240"/>
      <c r="DKF41" s="239"/>
      <c r="DKG41" s="240"/>
      <c r="DKH41" s="239"/>
      <c r="DKI41" s="240"/>
      <c r="DKJ41" s="239"/>
      <c r="DKK41" s="240"/>
      <c r="DKL41" s="239"/>
      <c r="DKM41" s="240"/>
      <c r="DKN41" s="239"/>
      <c r="DKO41" s="240"/>
      <c r="DKP41" s="239"/>
      <c r="DKQ41" s="240"/>
      <c r="DKR41" s="239"/>
      <c r="DKS41" s="240"/>
      <c r="DKT41" s="239"/>
      <c r="DKU41" s="240"/>
      <c r="DKV41" s="239"/>
      <c r="DKW41" s="240"/>
      <c r="DKX41" s="239"/>
      <c r="DKY41" s="240"/>
      <c r="DKZ41" s="239"/>
      <c r="DLA41" s="240"/>
      <c r="DLB41" s="239"/>
      <c r="DLC41" s="240"/>
      <c r="DLD41" s="239"/>
      <c r="DLE41" s="240"/>
      <c r="DLF41" s="239"/>
      <c r="DLG41" s="240"/>
      <c r="DLH41" s="239"/>
      <c r="DLI41" s="240"/>
      <c r="DLJ41" s="239"/>
      <c r="DLK41" s="240"/>
      <c r="DLL41" s="239"/>
      <c r="DLM41" s="240"/>
      <c r="DLN41" s="239"/>
      <c r="DLO41" s="240"/>
      <c r="DLP41" s="239"/>
      <c r="DLQ41" s="240"/>
      <c r="DLR41" s="239"/>
      <c r="DLS41" s="240"/>
      <c r="DLT41" s="239"/>
      <c r="DLU41" s="240"/>
      <c r="DLV41" s="239"/>
      <c r="DLW41" s="240"/>
      <c r="DLX41" s="239"/>
      <c r="DLY41" s="240"/>
      <c r="DLZ41" s="239"/>
      <c r="DMA41" s="240"/>
      <c r="DMB41" s="239"/>
      <c r="DMC41" s="240"/>
      <c r="DMD41" s="239"/>
      <c r="DME41" s="240"/>
      <c r="DMF41" s="239"/>
      <c r="DMG41" s="240"/>
      <c r="DMH41" s="239"/>
      <c r="DMI41" s="240"/>
      <c r="DMJ41" s="239"/>
      <c r="DMK41" s="240"/>
      <c r="DML41" s="239"/>
      <c r="DMM41" s="240"/>
      <c r="DMN41" s="239"/>
      <c r="DMO41" s="240"/>
      <c r="DMP41" s="239"/>
      <c r="DMQ41" s="240"/>
      <c r="DMR41" s="239"/>
      <c r="DMS41" s="240"/>
      <c r="DMT41" s="239"/>
      <c r="DMU41" s="240"/>
      <c r="DMV41" s="239"/>
      <c r="DMW41" s="240"/>
      <c r="DMX41" s="239"/>
      <c r="DMY41" s="240"/>
      <c r="DMZ41" s="239"/>
      <c r="DNA41" s="240"/>
      <c r="DNB41" s="239"/>
      <c r="DNC41" s="240"/>
      <c r="DND41" s="239"/>
      <c r="DNE41" s="240"/>
      <c r="DNF41" s="239"/>
      <c r="DNG41" s="240"/>
      <c r="DNH41" s="239"/>
      <c r="DNI41" s="240"/>
      <c r="DNJ41" s="239"/>
      <c r="DNK41" s="240"/>
      <c r="DNL41" s="239"/>
      <c r="DNM41" s="240"/>
      <c r="DNN41" s="239"/>
      <c r="DNO41" s="240"/>
      <c r="DNP41" s="239"/>
      <c r="DNQ41" s="240"/>
      <c r="DNR41" s="239"/>
      <c r="DNS41" s="240"/>
      <c r="DNT41" s="239"/>
      <c r="DNU41" s="240"/>
      <c r="DNV41" s="239"/>
      <c r="DNW41" s="240"/>
      <c r="DNX41" s="239"/>
      <c r="DNY41" s="240"/>
      <c r="DNZ41" s="239"/>
      <c r="DOA41" s="240"/>
      <c r="DOB41" s="239"/>
      <c r="DOC41" s="240"/>
      <c r="DOD41" s="239"/>
      <c r="DOE41" s="240"/>
      <c r="DOF41" s="239"/>
      <c r="DOG41" s="240"/>
      <c r="DOH41" s="239"/>
      <c r="DOI41" s="240"/>
      <c r="DOJ41" s="239"/>
      <c r="DOK41" s="240"/>
      <c r="DOL41" s="239"/>
      <c r="DOM41" s="240"/>
      <c r="DON41" s="239"/>
      <c r="DOO41" s="240"/>
      <c r="DOP41" s="239"/>
      <c r="DOQ41" s="240"/>
      <c r="DOR41" s="239"/>
      <c r="DOS41" s="240"/>
      <c r="DOT41" s="239"/>
      <c r="DOU41" s="240"/>
      <c r="DOV41" s="239"/>
      <c r="DOW41" s="240"/>
      <c r="DOX41" s="239"/>
      <c r="DOY41" s="240"/>
      <c r="DOZ41" s="239"/>
      <c r="DPA41" s="240"/>
      <c r="DPB41" s="239"/>
      <c r="DPC41" s="240"/>
      <c r="DPD41" s="239"/>
      <c r="DPE41" s="240"/>
      <c r="DPF41" s="239"/>
      <c r="DPG41" s="240"/>
      <c r="DPH41" s="239"/>
      <c r="DPI41" s="240"/>
      <c r="DPJ41" s="239"/>
      <c r="DPK41" s="240"/>
      <c r="DPL41" s="239"/>
      <c r="DPM41" s="240"/>
      <c r="DPN41" s="239"/>
      <c r="DPO41" s="240"/>
      <c r="DPP41" s="239"/>
      <c r="DPQ41" s="240"/>
      <c r="DPR41" s="239"/>
      <c r="DPS41" s="240"/>
      <c r="DPT41" s="239"/>
      <c r="DPU41" s="240"/>
      <c r="DPV41" s="239"/>
      <c r="DPW41" s="240"/>
      <c r="DPX41" s="239"/>
      <c r="DPY41" s="240"/>
      <c r="DPZ41" s="239"/>
      <c r="DQA41" s="240"/>
      <c r="DQB41" s="239"/>
      <c r="DQC41" s="240"/>
      <c r="DQD41" s="239"/>
      <c r="DQE41" s="240"/>
      <c r="DQF41" s="239"/>
      <c r="DQG41" s="240"/>
      <c r="DQH41" s="239"/>
      <c r="DQI41" s="240"/>
      <c r="DQJ41" s="239"/>
      <c r="DQK41" s="240"/>
      <c r="DQL41" s="239"/>
      <c r="DQM41" s="240"/>
      <c r="DQN41" s="239"/>
      <c r="DQO41" s="240"/>
      <c r="DQP41" s="239"/>
      <c r="DQQ41" s="240"/>
      <c r="DQR41" s="239"/>
      <c r="DQS41" s="240"/>
      <c r="DQT41" s="239"/>
      <c r="DQU41" s="240"/>
      <c r="DQV41" s="239"/>
      <c r="DQW41" s="240"/>
      <c r="DQX41" s="239"/>
      <c r="DQY41" s="240"/>
      <c r="DQZ41" s="239"/>
      <c r="DRA41" s="240"/>
      <c r="DRB41" s="239"/>
      <c r="DRC41" s="240"/>
      <c r="DRD41" s="239"/>
      <c r="DRE41" s="240"/>
      <c r="DRF41" s="239"/>
      <c r="DRG41" s="240"/>
      <c r="DRH41" s="239"/>
      <c r="DRI41" s="240"/>
      <c r="DRJ41" s="239"/>
      <c r="DRK41" s="240"/>
      <c r="DRL41" s="239"/>
      <c r="DRM41" s="240"/>
      <c r="DRN41" s="239"/>
      <c r="DRO41" s="240"/>
      <c r="DRP41" s="239"/>
      <c r="DRQ41" s="240"/>
      <c r="DRR41" s="239"/>
      <c r="DRS41" s="240"/>
      <c r="DRT41" s="239"/>
      <c r="DRU41" s="240"/>
      <c r="DRV41" s="239"/>
      <c r="DRW41" s="240"/>
      <c r="DRX41" s="239"/>
      <c r="DRY41" s="240"/>
      <c r="DRZ41" s="239"/>
      <c r="DSA41" s="240"/>
      <c r="DSB41" s="239"/>
      <c r="DSC41" s="240"/>
      <c r="DSD41" s="239"/>
      <c r="DSE41" s="240"/>
      <c r="DSF41" s="239"/>
      <c r="DSG41" s="240"/>
      <c r="DSH41" s="239"/>
      <c r="DSI41" s="240"/>
      <c r="DSJ41" s="239"/>
      <c r="DSK41" s="240"/>
      <c r="DSL41" s="239"/>
      <c r="DSM41" s="240"/>
      <c r="DSN41" s="239"/>
      <c r="DSO41" s="240"/>
      <c r="DSP41" s="239"/>
      <c r="DSQ41" s="240"/>
      <c r="DSR41" s="239"/>
      <c r="DSS41" s="240"/>
      <c r="DST41" s="239"/>
      <c r="DSU41" s="240"/>
      <c r="DSV41" s="239"/>
      <c r="DSW41" s="240"/>
      <c r="DSX41" s="239"/>
      <c r="DSY41" s="240"/>
      <c r="DSZ41" s="239"/>
      <c r="DTA41" s="240"/>
      <c r="DTB41" s="239"/>
      <c r="DTC41" s="240"/>
      <c r="DTD41" s="239"/>
      <c r="DTE41" s="240"/>
      <c r="DTF41" s="239"/>
      <c r="DTG41" s="240"/>
      <c r="DTH41" s="239"/>
      <c r="DTI41" s="240"/>
      <c r="DTJ41" s="239"/>
      <c r="DTK41" s="240"/>
      <c r="DTL41" s="239"/>
      <c r="DTM41" s="240"/>
      <c r="DTN41" s="239"/>
      <c r="DTO41" s="240"/>
      <c r="DTP41" s="239"/>
      <c r="DTQ41" s="240"/>
      <c r="DTR41" s="239"/>
      <c r="DTS41" s="240"/>
      <c r="DTT41" s="239"/>
      <c r="DTU41" s="240"/>
      <c r="DTV41" s="239"/>
      <c r="DTW41" s="240"/>
      <c r="DTX41" s="239"/>
      <c r="DTY41" s="240"/>
      <c r="DTZ41" s="239"/>
      <c r="DUA41" s="240"/>
      <c r="DUB41" s="239"/>
      <c r="DUC41" s="240"/>
      <c r="DUD41" s="239"/>
      <c r="DUE41" s="240"/>
      <c r="DUF41" s="239"/>
      <c r="DUG41" s="240"/>
      <c r="DUH41" s="239"/>
      <c r="DUI41" s="240"/>
      <c r="DUJ41" s="239"/>
      <c r="DUK41" s="240"/>
      <c r="DUL41" s="239"/>
      <c r="DUM41" s="240"/>
      <c r="DUN41" s="239"/>
      <c r="DUO41" s="240"/>
      <c r="DUP41" s="239"/>
      <c r="DUQ41" s="240"/>
      <c r="DUR41" s="239"/>
      <c r="DUS41" s="240"/>
      <c r="DUT41" s="239"/>
      <c r="DUU41" s="240"/>
      <c r="DUV41" s="239"/>
      <c r="DUW41" s="240"/>
      <c r="DUX41" s="239"/>
      <c r="DUY41" s="240"/>
      <c r="DUZ41" s="239"/>
      <c r="DVA41" s="240"/>
      <c r="DVB41" s="239"/>
      <c r="DVC41" s="240"/>
      <c r="DVD41" s="239"/>
      <c r="DVE41" s="240"/>
      <c r="DVF41" s="239"/>
      <c r="DVG41" s="240"/>
      <c r="DVH41" s="239"/>
      <c r="DVI41" s="240"/>
      <c r="DVJ41" s="239"/>
      <c r="DVK41" s="240"/>
      <c r="DVL41" s="239"/>
      <c r="DVM41" s="240"/>
      <c r="DVN41" s="239"/>
      <c r="DVO41" s="240"/>
      <c r="DVP41" s="239"/>
      <c r="DVQ41" s="240"/>
      <c r="DVR41" s="239"/>
      <c r="DVS41" s="240"/>
      <c r="DVT41" s="239"/>
      <c r="DVU41" s="240"/>
      <c r="DVV41" s="239"/>
      <c r="DVW41" s="240"/>
      <c r="DVX41" s="239"/>
      <c r="DVY41" s="240"/>
      <c r="DVZ41" s="239"/>
      <c r="DWA41" s="240"/>
      <c r="DWB41" s="239"/>
      <c r="DWC41" s="240"/>
      <c r="DWD41" s="239"/>
      <c r="DWE41" s="240"/>
      <c r="DWF41" s="239"/>
      <c r="DWG41" s="240"/>
      <c r="DWH41" s="239"/>
      <c r="DWI41" s="240"/>
      <c r="DWJ41" s="239"/>
      <c r="DWK41" s="240"/>
      <c r="DWL41" s="239"/>
      <c r="DWM41" s="240"/>
      <c r="DWN41" s="239"/>
      <c r="DWO41" s="240"/>
      <c r="DWP41" s="239"/>
      <c r="DWQ41" s="240"/>
      <c r="DWR41" s="239"/>
      <c r="DWS41" s="240"/>
      <c r="DWT41" s="239"/>
      <c r="DWU41" s="240"/>
      <c r="DWV41" s="239"/>
      <c r="DWW41" s="240"/>
      <c r="DWX41" s="239"/>
      <c r="DWY41" s="240"/>
      <c r="DWZ41" s="239"/>
      <c r="DXA41" s="240"/>
      <c r="DXB41" s="239"/>
      <c r="DXC41" s="240"/>
      <c r="DXD41" s="239"/>
      <c r="DXE41" s="240"/>
      <c r="DXF41" s="239"/>
      <c r="DXG41" s="240"/>
      <c r="DXH41" s="239"/>
      <c r="DXI41" s="240"/>
      <c r="DXJ41" s="239"/>
      <c r="DXK41" s="240"/>
      <c r="DXL41" s="239"/>
      <c r="DXM41" s="240"/>
      <c r="DXN41" s="239"/>
      <c r="DXO41" s="240"/>
      <c r="DXP41" s="239"/>
      <c r="DXQ41" s="240"/>
      <c r="DXR41" s="239"/>
      <c r="DXS41" s="240"/>
      <c r="DXT41" s="239"/>
      <c r="DXU41" s="240"/>
      <c r="DXV41" s="239"/>
      <c r="DXW41" s="240"/>
      <c r="DXX41" s="239"/>
      <c r="DXY41" s="240"/>
      <c r="DXZ41" s="239"/>
      <c r="DYA41" s="240"/>
      <c r="DYB41" s="239"/>
      <c r="DYC41" s="240"/>
      <c r="DYD41" s="239"/>
      <c r="DYE41" s="240"/>
      <c r="DYF41" s="239"/>
      <c r="DYG41" s="240"/>
      <c r="DYH41" s="239"/>
      <c r="DYI41" s="240"/>
      <c r="DYJ41" s="239"/>
      <c r="DYK41" s="240"/>
      <c r="DYL41" s="239"/>
      <c r="DYM41" s="240"/>
      <c r="DYN41" s="239"/>
      <c r="DYO41" s="240"/>
      <c r="DYP41" s="239"/>
      <c r="DYQ41" s="240"/>
      <c r="DYR41" s="239"/>
      <c r="DYS41" s="240"/>
      <c r="DYT41" s="239"/>
      <c r="DYU41" s="240"/>
      <c r="DYV41" s="239"/>
      <c r="DYW41" s="240"/>
      <c r="DYX41" s="239"/>
      <c r="DYY41" s="240"/>
      <c r="DYZ41" s="239"/>
      <c r="DZA41" s="240"/>
      <c r="DZB41" s="239"/>
      <c r="DZC41" s="240"/>
      <c r="DZD41" s="239"/>
      <c r="DZE41" s="240"/>
      <c r="DZF41" s="239"/>
      <c r="DZG41" s="240"/>
      <c r="DZH41" s="239"/>
      <c r="DZI41" s="240"/>
      <c r="DZJ41" s="239"/>
      <c r="DZK41" s="240"/>
      <c r="DZL41" s="239"/>
      <c r="DZM41" s="240"/>
      <c r="DZN41" s="239"/>
      <c r="DZO41" s="240"/>
      <c r="DZP41" s="239"/>
      <c r="DZQ41" s="240"/>
      <c r="DZR41" s="239"/>
      <c r="DZS41" s="240"/>
      <c r="DZT41" s="239"/>
      <c r="DZU41" s="240"/>
      <c r="DZV41" s="239"/>
      <c r="DZW41" s="240"/>
      <c r="DZX41" s="239"/>
      <c r="DZY41" s="240"/>
      <c r="DZZ41" s="239"/>
      <c r="EAA41" s="240"/>
      <c r="EAB41" s="239"/>
      <c r="EAC41" s="240"/>
      <c r="EAD41" s="239"/>
      <c r="EAE41" s="240"/>
      <c r="EAF41" s="239"/>
      <c r="EAG41" s="240"/>
      <c r="EAH41" s="239"/>
      <c r="EAI41" s="240"/>
      <c r="EAJ41" s="239"/>
      <c r="EAK41" s="240"/>
      <c r="EAL41" s="239"/>
      <c r="EAM41" s="240"/>
      <c r="EAN41" s="239"/>
      <c r="EAO41" s="240"/>
      <c r="EAP41" s="239"/>
      <c r="EAQ41" s="240"/>
      <c r="EAR41" s="239"/>
      <c r="EAS41" s="240"/>
      <c r="EAT41" s="239"/>
      <c r="EAU41" s="240"/>
      <c r="EAV41" s="239"/>
      <c r="EAW41" s="240"/>
      <c r="EAX41" s="239"/>
      <c r="EAY41" s="240"/>
      <c r="EAZ41" s="239"/>
      <c r="EBA41" s="240"/>
      <c r="EBB41" s="239"/>
      <c r="EBC41" s="240"/>
      <c r="EBD41" s="239"/>
      <c r="EBE41" s="240"/>
      <c r="EBF41" s="239"/>
      <c r="EBG41" s="240"/>
      <c r="EBH41" s="239"/>
      <c r="EBI41" s="240"/>
      <c r="EBJ41" s="239"/>
      <c r="EBK41" s="240"/>
      <c r="EBL41" s="239"/>
      <c r="EBM41" s="240"/>
      <c r="EBN41" s="239"/>
      <c r="EBO41" s="240"/>
      <c r="EBP41" s="239"/>
      <c r="EBQ41" s="240"/>
      <c r="EBR41" s="239"/>
      <c r="EBS41" s="240"/>
      <c r="EBT41" s="239"/>
      <c r="EBU41" s="240"/>
      <c r="EBV41" s="239"/>
      <c r="EBW41" s="240"/>
      <c r="EBX41" s="239"/>
      <c r="EBY41" s="240"/>
      <c r="EBZ41" s="239"/>
      <c r="ECA41" s="240"/>
      <c r="ECB41" s="239"/>
      <c r="ECC41" s="240"/>
      <c r="ECD41" s="239"/>
      <c r="ECE41" s="240"/>
      <c r="ECF41" s="239"/>
      <c r="ECG41" s="240"/>
      <c r="ECH41" s="239"/>
      <c r="ECI41" s="240"/>
      <c r="ECJ41" s="239"/>
      <c r="ECK41" s="240"/>
      <c r="ECL41" s="239"/>
      <c r="ECM41" s="240"/>
      <c r="ECN41" s="239"/>
      <c r="ECO41" s="240"/>
      <c r="ECP41" s="239"/>
      <c r="ECQ41" s="240"/>
      <c r="ECR41" s="239"/>
      <c r="ECS41" s="240"/>
      <c r="ECT41" s="239"/>
      <c r="ECU41" s="240"/>
      <c r="ECV41" s="239"/>
      <c r="ECW41" s="240"/>
      <c r="ECX41" s="239"/>
      <c r="ECY41" s="240"/>
      <c r="ECZ41" s="239"/>
      <c r="EDA41" s="240"/>
      <c r="EDB41" s="239"/>
      <c r="EDC41" s="240"/>
      <c r="EDD41" s="239"/>
      <c r="EDE41" s="240"/>
      <c r="EDF41" s="239"/>
      <c r="EDG41" s="240"/>
      <c r="EDH41" s="239"/>
      <c r="EDI41" s="240"/>
      <c r="EDJ41" s="239"/>
      <c r="EDK41" s="240"/>
      <c r="EDL41" s="239"/>
      <c r="EDM41" s="240"/>
      <c r="EDN41" s="239"/>
      <c r="EDO41" s="240"/>
      <c r="EDP41" s="239"/>
      <c r="EDQ41" s="240"/>
      <c r="EDR41" s="239"/>
      <c r="EDS41" s="240"/>
      <c r="EDT41" s="239"/>
      <c r="EDU41" s="240"/>
      <c r="EDV41" s="239"/>
      <c r="EDW41" s="240"/>
      <c r="EDX41" s="239"/>
      <c r="EDY41" s="240"/>
      <c r="EDZ41" s="239"/>
      <c r="EEA41" s="240"/>
      <c r="EEB41" s="239"/>
      <c r="EEC41" s="240"/>
      <c r="EED41" s="239"/>
      <c r="EEE41" s="240"/>
      <c r="EEF41" s="239"/>
      <c r="EEG41" s="240"/>
      <c r="EEH41" s="239"/>
      <c r="EEI41" s="240"/>
      <c r="EEJ41" s="239"/>
      <c r="EEK41" s="240"/>
      <c r="EEL41" s="239"/>
      <c r="EEM41" s="240"/>
      <c r="EEN41" s="239"/>
      <c r="EEO41" s="240"/>
      <c r="EEP41" s="239"/>
      <c r="EEQ41" s="240"/>
      <c r="EER41" s="239"/>
      <c r="EES41" s="240"/>
      <c r="EET41" s="239"/>
      <c r="EEU41" s="240"/>
      <c r="EEV41" s="239"/>
      <c r="EEW41" s="240"/>
      <c r="EEX41" s="239"/>
      <c r="EEY41" s="240"/>
      <c r="EEZ41" s="239"/>
      <c r="EFA41" s="240"/>
      <c r="EFB41" s="239"/>
      <c r="EFC41" s="240"/>
      <c r="EFD41" s="239"/>
      <c r="EFE41" s="240"/>
      <c r="EFF41" s="239"/>
      <c r="EFG41" s="240"/>
      <c r="EFH41" s="239"/>
      <c r="EFI41" s="240"/>
      <c r="EFJ41" s="239"/>
      <c r="EFK41" s="240"/>
      <c r="EFL41" s="239"/>
      <c r="EFM41" s="240"/>
      <c r="EFN41" s="239"/>
      <c r="EFO41" s="240"/>
      <c r="EFP41" s="239"/>
      <c r="EFQ41" s="240"/>
      <c r="EFR41" s="239"/>
      <c r="EFS41" s="240"/>
      <c r="EFT41" s="239"/>
      <c r="EFU41" s="240"/>
      <c r="EFV41" s="239"/>
      <c r="EFW41" s="240"/>
      <c r="EFX41" s="239"/>
      <c r="EFY41" s="240"/>
      <c r="EFZ41" s="239"/>
      <c r="EGA41" s="240"/>
      <c r="EGB41" s="239"/>
      <c r="EGC41" s="240"/>
      <c r="EGD41" s="239"/>
      <c r="EGE41" s="240"/>
      <c r="EGF41" s="239"/>
      <c r="EGG41" s="240"/>
      <c r="EGH41" s="239"/>
      <c r="EGI41" s="240"/>
      <c r="EGJ41" s="239"/>
      <c r="EGK41" s="240"/>
      <c r="EGL41" s="239"/>
      <c r="EGM41" s="240"/>
      <c r="EGN41" s="239"/>
      <c r="EGO41" s="240"/>
      <c r="EGP41" s="239"/>
      <c r="EGQ41" s="240"/>
      <c r="EGR41" s="239"/>
      <c r="EGS41" s="240"/>
      <c r="EGT41" s="239"/>
      <c r="EGU41" s="240"/>
      <c r="EGV41" s="239"/>
      <c r="EGW41" s="240"/>
      <c r="EGX41" s="239"/>
      <c r="EGY41" s="240"/>
      <c r="EGZ41" s="239"/>
      <c r="EHA41" s="240"/>
      <c r="EHB41" s="239"/>
      <c r="EHC41" s="240"/>
      <c r="EHD41" s="239"/>
      <c r="EHE41" s="240"/>
      <c r="EHF41" s="239"/>
      <c r="EHG41" s="240"/>
      <c r="EHH41" s="239"/>
      <c r="EHI41" s="240"/>
      <c r="EHJ41" s="239"/>
      <c r="EHK41" s="240"/>
      <c r="EHL41" s="239"/>
      <c r="EHM41" s="240"/>
      <c r="EHN41" s="239"/>
      <c r="EHO41" s="240"/>
      <c r="EHP41" s="239"/>
      <c r="EHQ41" s="240"/>
      <c r="EHR41" s="239"/>
      <c r="EHS41" s="240"/>
      <c r="EHT41" s="239"/>
      <c r="EHU41" s="240"/>
      <c r="EHV41" s="239"/>
      <c r="EHW41" s="240"/>
      <c r="EHX41" s="239"/>
      <c r="EHY41" s="240"/>
      <c r="EHZ41" s="239"/>
      <c r="EIA41" s="240"/>
      <c r="EIB41" s="239"/>
      <c r="EIC41" s="240"/>
      <c r="EID41" s="239"/>
      <c r="EIE41" s="240"/>
      <c r="EIF41" s="239"/>
      <c r="EIG41" s="240"/>
      <c r="EIH41" s="239"/>
      <c r="EII41" s="240"/>
      <c r="EIJ41" s="239"/>
      <c r="EIK41" s="240"/>
      <c r="EIL41" s="239"/>
      <c r="EIM41" s="240"/>
      <c r="EIN41" s="239"/>
      <c r="EIO41" s="240"/>
      <c r="EIP41" s="239"/>
      <c r="EIQ41" s="240"/>
      <c r="EIR41" s="239"/>
      <c r="EIS41" s="240"/>
      <c r="EIT41" s="239"/>
      <c r="EIU41" s="240"/>
      <c r="EIV41" s="239"/>
      <c r="EIW41" s="240"/>
      <c r="EIX41" s="239"/>
      <c r="EIY41" s="240"/>
      <c r="EIZ41" s="239"/>
      <c r="EJA41" s="240"/>
      <c r="EJB41" s="239"/>
      <c r="EJC41" s="240"/>
      <c r="EJD41" s="239"/>
      <c r="EJE41" s="240"/>
      <c r="EJF41" s="239"/>
      <c r="EJG41" s="240"/>
      <c r="EJH41" s="239"/>
      <c r="EJI41" s="240"/>
      <c r="EJJ41" s="239"/>
      <c r="EJK41" s="240"/>
      <c r="EJL41" s="239"/>
      <c r="EJM41" s="240"/>
      <c r="EJN41" s="239"/>
      <c r="EJO41" s="240"/>
      <c r="EJP41" s="239"/>
      <c r="EJQ41" s="240"/>
      <c r="EJR41" s="239"/>
      <c r="EJS41" s="240"/>
      <c r="EJT41" s="239"/>
      <c r="EJU41" s="240"/>
      <c r="EJV41" s="239"/>
      <c r="EJW41" s="240"/>
      <c r="EJX41" s="239"/>
      <c r="EJY41" s="240"/>
      <c r="EJZ41" s="239"/>
      <c r="EKA41" s="240"/>
      <c r="EKB41" s="239"/>
      <c r="EKC41" s="240"/>
      <c r="EKD41" s="239"/>
      <c r="EKE41" s="240"/>
      <c r="EKF41" s="239"/>
      <c r="EKG41" s="240"/>
      <c r="EKH41" s="239"/>
      <c r="EKI41" s="240"/>
      <c r="EKJ41" s="239"/>
      <c r="EKK41" s="240"/>
      <c r="EKL41" s="239"/>
      <c r="EKM41" s="240"/>
      <c r="EKN41" s="239"/>
      <c r="EKO41" s="240"/>
      <c r="EKP41" s="239"/>
      <c r="EKQ41" s="240"/>
      <c r="EKR41" s="239"/>
      <c r="EKS41" s="240"/>
      <c r="EKT41" s="239"/>
      <c r="EKU41" s="240"/>
      <c r="EKV41" s="239"/>
      <c r="EKW41" s="240"/>
      <c r="EKX41" s="239"/>
      <c r="EKY41" s="240"/>
      <c r="EKZ41" s="239"/>
      <c r="ELA41" s="240"/>
      <c r="ELB41" s="239"/>
      <c r="ELC41" s="240"/>
      <c r="ELD41" s="239"/>
      <c r="ELE41" s="240"/>
      <c r="ELF41" s="239"/>
      <c r="ELG41" s="240"/>
      <c r="ELH41" s="239"/>
      <c r="ELI41" s="240"/>
      <c r="ELJ41" s="239"/>
      <c r="ELK41" s="240"/>
      <c r="ELL41" s="239"/>
      <c r="ELM41" s="240"/>
      <c r="ELN41" s="239"/>
      <c r="ELO41" s="240"/>
      <c r="ELP41" s="239"/>
      <c r="ELQ41" s="240"/>
      <c r="ELR41" s="239"/>
      <c r="ELS41" s="240"/>
      <c r="ELT41" s="239"/>
      <c r="ELU41" s="240"/>
      <c r="ELV41" s="239"/>
      <c r="ELW41" s="240"/>
      <c r="ELX41" s="239"/>
      <c r="ELY41" s="240"/>
      <c r="ELZ41" s="239"/>
      <c r="EMA41" s="240"/>
      <c r="EMB41" s="239"/>
      <c r="EMC41" s="240"/>
      <c r="EMD41" s="239"/>
      <c r="EME41" s="240"/>
      <c r="EMF41" s="239"/>
      <c r="EMG41" s="240"/>
      <c r="EMH41" s="239"/>
      <c r="EMI41" s="240"/>
      <c r="EMJ41" s="239"/>
      <c r="EMK41" s="240"/>
      <c r="EML41" s="239"/>
      <c r="EMM41" s="240"/>
      <c r="EMN41" s="239"/>
      <c r="EMO41" s="240"/>
      <c r="EMP41" s="239"/>
      <c r="EMQ41" s="240"/>
      <c r="EMR41" s="239"/>
      <c r="EMS41" s="240"/>
      <c r="EMT41" s="239"/>
      <c r="EMU41" s="240"/>
      <c r="EMV41" s="239"/>
      <c r="EMW41" s="240"/>
      <c r="EMX41" s="239"/>
      <c r="EMY41" s="240"/>
      <c r="EMZ41" s="239"/>
      <c r="ENA41" s="240"/>
      <c r="ENB41" s="239"/>
      <c r="ENC41" s="240"/>
      <c r="END41" s="239"/>
      <c r="ENE41" s="240"/>
      <c r="ENF41" s="239"/>
      <c r="ENG41" s="240"/>
      <c r="ENH41" s="239"/>
      <c r="ENI41" s="240"/>
      <c r="ENJ41" s="239"/>
      <c r="ENK41" s="240"/>
      <c r="ENL41" s="239"/>
      <c r="ENM41" s="240"/>
      <c r="ENN41" s="239"/>
      <c r="ENO41" s="240"/>
      <c r="ENP41" s="239"/>
      <c r="ENQ41" s="240"/>
      <c r="ENR41" s="239"/>
      <c r="ENS41" s="240"/>
      <c r="ENT41" s="239"/>
      <c r="ENU41" s="240"/>
      <c r="ENV41" s="239"/>
      <c r="ENW41" s="240"/>
      <c r="ENX41" s="239"/>
      <c r="ENY41" s="240"/>
      <c r="ENZ41" s="239"/>
      <c r="EOA41" s="240"/>
      <c r="EOB41" s="239"/>
      <c r="EOC41" s="240"/>
      <c r="EOD41" s="239"/>
      <c r="EOE41" s="240"/>
      <c r="EOF41" s="239"/>
      <c r="EOG41" s="240"/>
      <c r="EOH41" s="239"/>
      <c r="EOI41" s="240"/>
      <c r="EOJ41" s="239"/>
      <c r="EOK41" s="240"/>
      <c r="EOL41" s="239"/>
      <c r="EOM41" s="240"/>
      <c r="EON41" s="239"/>
      <c r="EOO41" s="240"/>
      <c r="EOP41" s="239"/>
      <c r="EOQ41" s="240"/>
      <c r="EOR41" s="239"/>
      <c r="EOS41" s="240"/>
      <c r="EOT41" s="239"/>
      <c r="EOU41" s="240"/>
      <c r="EOV41" s="239"/>
      <c r="EOW41" s="240"/>
      <c r="EOX41" s="239"/>
      <c r="EOY41" s="240"/>
      <c r="EOZ41" s="239"/>
      <c r="EPA41" s="240"/>
      <c r="EPB41" s="239"/>
      <c r="EPC41" s="240"/>
      <c r="EPD41" s="239"/>
      <c r="EPE41" s="240"/>
      <c r="EPF41" s="239"/>
      <c r="EPG41" s="240"/>
      <c r="EPH41" s="239"/>
      <c r="EPI41" s="240"/>
      <c r="EPJ41" s="239"/>
      <c r="EPK41" s="240"/>
      <c r="EPL41" s="239"/>
      <c r="EPM41" s="240"/>
      <c r="EPN41" s="239"/>
      <c r="EPO41" s="240"/>
      <c r="EPP41" s="239"/>
      <c r="EPQ41" s="240"/>
      <c r="EPR41" s="239"/>
      <c r="EPS41" s="240"/>
      <c r="EPT41" s="239"/>
      <c r="EPU41" s="240"/>
      <c r="EPV41" s="239"/>
      <c r="EPW41" s="240"/>
      <c r="EPX41" s="239"/>
      <c r="EPY41" s="240"/>
      <c r="EPZ41" s="239"/>
      <c r="EQA41" s="240"/>
      <c r="EQB41" s="239"/>
      <c r="EQC41" s="240"/>
      <c r="EQD41" s="239"/>
      <c r="EQE41" s="240"/>
      <c r="EQF41" s="239"/>
      <c r="EQG41" s="240"/>
      <c r="EQH41" s="239"/>
      <c r="EQI41" s="240"/>
      <c r="EQJ41" s="239"/>
      <c r="EQK41" s="240"/>
      <c r="EQL41" s="239"/>
      <c r="EQM41" s="240"/>
      <c r="EQN41" s="239"/>
      <c r="EQO41" s="240"/>
      <c r="EQP41" s="239"/>
      <c r="EQQ41" s="240"/>
      <c r="EQR41" s="239"/>
      <c r="EQS41" s="240"/>
      <c r="EQT41" s="239"/>
      <c r="EQU41" s="240"/>
      <c r="EQV41" s="239"/>
      <c r="EQW41" s="240"/>
      <c r="EQX41" s="239"/>
      <c r="EQY41" s="240"/>
      <c r="EQZ41" s="239"/>
      <c r="ERA41" s="240"/>
      <c r="ERB41" s="239"/>
      <c r="ERC41" s="240"/>
      <c r="ERD41" s="239"/>
      <c r="ERE41" s="240"/>
      <c r="ERF41" s="239"/>
      <c r="ERG41" s="240"/>
      <c r="ERH41" s="239"/>
      <c r="ERI41" s="240"/>
      <c r="ERJ41" s="239"/>
      <c r="ERK41" s="240"/>
      <c r="ERL41" s="239"/>
      <c r="ERM41" s="240"/>
      <c r="ERN41" s="239"/>
      <c r="ERO41" s="240"/>
      <c r="ERP41" s="239"/>
      <c r="ERQ41" s="240"/>
      <c r="ERR41" s="239"/>
      <c r="ERS41" s="240"/>
      <c r="ERT41" s="239"/>
      <c r="ERU41" s="240"/>
      <c r="ERV41" s="239"/>
      <c r="ERW41" s="240"/>
      <c r="ERX41" s="239"/>
      <c r="ERY41" s="240"/>
      <c r="ERZ41" s="239"/>
      <c r="ESA41" s="240"/>
      <c r="ESB41" s="239"/>
      <c r="ESC41" s="240"/>
      <c r="ESD41" s="239"/>
      <c r="ESE41" s="240"/>
      <c r="ESF41" s="239"/>
      <c r="ESG41" s="240"/>
      <c r="ESH41" s="239"/>
      <c r="ESI41" s="240"/>
      <c r="ESJ41" s="239"/>
      <c r="ESK41" s="240"/>
      <c r="ESL41" s="239"/>
      <c r="ESM41" s="240"/>
      <c r="ESN41" s="239"/>
      <c r="ESO41" s="240"/>
      <c r="ESP41" s="239"/>
      <c r="ESQ41" s="240"/>
      <c r="ESR41" s="239"/>
      <c r="ESS41" s="240"/>
      <c r="EST41" s="239"/>
      <c r="ESU41" s="240"/>
      <c r="ESV41" s="239"/>
      <c r="ESW41" s="240"/>
      <c r="ESX41" s="239"/>
      <c r="ESY41" s="240"/>
      <c r="ESZ41" s="239"/>
      <c r="ETA41" s="240"/>
      <c r="ETB41" s="239"/>
      <c r="ETC41" s="240"/>
      <c r="ETD41" s="239"/>
      <c r="ETE41" s="240"/>
      <c r="ETF41" s="239"/>
      <c r="ETG41" s="240"/>
      <c r="ETH41" s="239"/>
      <c r="ETI41" s="240"/>
      <c r="ETJ41" s="239"/>
      <c r="ETK41" s="240"/>
      <c r="ETL41" s="239"/>
      <c r="ETM41" s="240"/>
      <c r="ETN41" s="239"/>
      <c r="ETO41" s="240"/>
      <c r="ETP41" s="239"/>
      <c r="ETQ41" s="240"/>
      <c r="ETR41" s="239"/>
      <c r="ETS41" s="240"/>
      <c r="ETT41" s="239"/>
      <c r="ETU41" s="240"/>
      <c r="ETV41" s="239"/>
      <c r="ETW41" s="240"/>
      <c r="ETX41" s="239"/>
      <c r="ETY41" s="240"/>
      <c r="ETZ41" s="239"/>
      <c r="EUA41" s="240"/>
      <c r="EUB41" s="239"/>
      <c r="EUC41" s="240"/>
      <c r="EUD41" s="239"/>
      <c r="EUE41" s="240"/>
      <c r="EUF41" s="239"/>
      <c r="EUG41" s="240"/>
      <c r="EUH41" s="239"/>
      <c r="EUI41" s="240"/>
      <c r="EUJ41" s="239"/>
      <c r="EUK41" s="240"/>
      <c r="EUL41" s="239"/>
      <c r="EUM41" s="240"/>
      <c r="EUN41" s="239"/>
      <c r="EUO41" s="240"/>
      <c r="EUP41" s="239"/>
      <c r="EUQ41" s="240"/>
      <c r="EUR41" s="239"/>
      <c r="EUS41" s="240"/>
      <c r="EUT41" s="239"/>
      <c r="EUU41" s="240"/>
      <c r="EUV41" s="239"/>
      <c r="EUW41" s="240"/>
      <c r="EUX41" s="239"/>
      <c r="EUY41" s="240"/>
      <c r="EUZ41" s="239"/>
      <c r="EVA41" s="240"/>
      <c r="EVB41" s="239"/>
      <c r="EVC41" s="240"/>
      <c r="EVD41" s="239"/>
      <c r="EVE41" s="240"/>
      <c r="EVF41" s="239"/>
      <c r="EVG41" s="240"/>
      <c r="EVH41" s="239"/>
      <c r="EVI41" s="240"/>
      <c r="EVJ41" s="239"/>
      <c r="EVK41" s="240"/>
      <c r="EVL41" s="239"/>
      <c r="EVM41" s="240"/>
      <c r="EVN41" s="239"/>
      <c r="EVO41" s="240"/>
      <c r="EVP41" s="239"/>
      <c r="EVQ41" s="240"/>
      <c r="EVR41" s="239"/>
      <c r="EVS41" s="240"/>
      <c r="EVT41" s="239"/>
      <c r="EVU41" s="240"/>
      <c r="EVV41" s="239"/>
      <c r="EVW41" s="240"/>
      <c r="EVX41" s="239"/>
      <c r="EVY41" s="240"/>
      <c r="EVZ41" s="239"/>
      <c r="EWA41" s="240"/>
      <c r="EWB41" s="239"/>
      <c r="EWC41" s="240"/>
      <c r="EWD41" s="239"/>
      <c r="EWE41" s="240"/>
      <c r="EWF41" s="239"/>
      <c r="EWG41" s="240"/>
      <c r="EWH41" s="239"/>
      <c r="EWI41" s="240"/>
      <c r="EWJ41" s="239"/>
      <c r="EWK41" s="240"/>
      <c r="EWL41" s="239"/>
      <c r="EWM41" s="240"/>
      <c r="EWN41" s="239"/>
      <c r="EWO41" s="240"/>
      <c r="EWP41" s="239"/>
      <c r="EWQ41" s="240"/>
      <c r="EWR41" s="239"/>
      <c r="EWS41" s="240"/>
      <c r="EWT41" s="239"/>
      <c r="EWU41" s="240"/>
      <c r="EWV41" s="239"/>
      <c r="EWW41" s="240"/>
      <c r="EWX41" s="239"/>
      <c r="EWY41" s="240"/>
      <c r="EWZ41" s="239"/>
      <c r="EXA41" s="240"/>
      <c r="EXB41" s="239"/>
      <c r="EXC41" s="240"/>
      <c r="EXD41" s="239"/>
      <c r="EXE41" s="240"/>
      <c r="EXF41" s="239"/>
      <c r="EXG41" s="240"/>
      <c r="EXH41" s="239"/>
      <c r="EXI41" s="240"/>
      <c r="EXJ41" s="239"/>
      <c r="EXK41" s="240"/>
      <c r="EXL41" s="239"/>
      <c r="EXM41" s="240"/>
      <c r="EXN41" s="239"/>
      <c r="EXO41" s="240"/>
      <c r="EXP41" s="239"/>
      <c r="EXQ41" s="240"/>
      <c r="EXR41" s="239"/>
      <c r="EXS41" s="240"/>
      <c r="EXT41" s="239"/>
      <c r="EXU41" s="240"/>
      <c r="EXV41" s="239"/>
      <c r="EXW41" s="240"/>
      <c r="EXX41" s="239"/>
      <c r="EXY41" s="240"/>
      <c r="EXZ41" s="239"/>
      <c r="EYA41" s="240"/>
      <c r="EYB41" s="239"/>
      <c r="EYC41" s="240"/>
      <c r="EYD41" s="239"/>
      <c r="EYE41" s="240"/>
      <c r="EYF41" s="239"/>
      <c r="EYG41" s="240"/>
      <c r="EYH41" s="239"/>
      <c r="EYI41" s="240"/>
      <c r="EYJ41" s="239"/>
      <c r="EYK41" s="240"/>
      <c r="EYL41" s="239"/>
      <c r="EYM41" s="240"/>
      <c r="EYN41" s="239"/>
      <c r="EYO41" s="240"/>
      <c r="EYP41" s="239"/>
      <c r="EYQ41" s="240"/>
      <c r="EYR41" s="239"/>
      <c r="EYS41" s="240"/>
      <c r="EYT41" s="239"/>
      <c r="EYU41" s="240"/>
      <c r="EYV41" s="239"/>
      <c r="EYW41" s="240"/>
      <c r="EYX41" s="239"/>
      <c r="EYY41" s="240"/>
      <c r="EYZ41" s="239"/>
      <c r="EZA41" s="240"/>
      <c r="EZB41" s="239"/>
      <c r="EZC41" s="240"/>
      <c r="EZD41" s="239"/>
      <c r="EZE41" s="240"/>
      <c r="EZF41" s="239"/>
      <c r="EZG41" s="240"/>
      <c r="EZH41" s="239"/>
      <c r="EZI41" s="240"/>
      <c r="EZJ41" s="239"/>
      <c r="EZK41" s="240"/>
      <c r="EZL41" s="239"/>
      <c r="EZM41" s="240"/>
      <c r="EZN41" s="239"/>
      <c r="EZO41" s="240"/>
      <c r="EZP41" s="239"/>
      <c r="EZQ41" s="240"/>
      <c r="EZR41" s="239"/>
      <c r="EZS41" s="240"/>
      <c r="EZT41" s="239"/>
      <c r="EZU41" s="240"/>
      <c r="EZV41" s="239"/>
      <c r="EZW41" s="240"/>
      <c r="EZX41" s="239"/>
      <c r="EZY41" s="240"/>
      <c r="EZZ41" s="239"/>
      <c r="FAA41" s="240"/>
      <c r="FAB41" s="239"/>
      <c r="FAC41" s="240"/>
      <c r="FAD41" s="239"/>
      <c r="FAE41" s="240"/>
      <c r="FAF41" s="239"/>
      <c r="FAG41" s="240"/>
      <c r="FAH41" s="239"/>
      <c r="FAI41" s="240"/>
      <c r="FAJ41" s="239"/>
      <c r="FAK41" s="240"/>
      <c r="FAL41" s="239"/>
      <c r="FAM41" s="240"/>
      <c r="FAN41" s="239"/>
      <c r="FAO41" s="240"/>
      <c r="FAP41" s="239"/>
      <c r="FAQ41" s="240"/>
      <c r="FAR41" s="239"/>
      <c r="FAS41" s="240"/>
      <c r="FAT41" s="239"/>
      <c r="FAU41" s="240"/>
      <c r="FAV41" s="239"/>
      <c r="FAW41" s="240"/>
      <c r="FAX41" s="239"/>
      <c r="FAY41" s="240"/>
      <c r="FAZ41" s="239"/>
      <c r="FBA41" s="240"/>
      <c r="FBB41" s="239"/>
      <c r="FBC41" s="240"/>
      <c r="FBD41" s="239"/>
      <c r="FBE41" s="240"/>
      <c r="FBF41" s="239"/>
      <c r="FBG41" s="240"/>
      <c r="FBH41" s="239"/>
      <c r="FBI41" s="240"/>
      <c r="FBJ41" s="239"/>
      <c r="FBK41" s="240"/>
      <c r="FBL41" s="239"/>
      <c r="FBM41" s="240"/>
      <c r="FBN41" s="239"/>
      <c r="FBO41" s="240"/>
      <c r="FBP41" s="239"/>
      <c r="FBQ41" s="240"/>
      <c r="FBR41" s="239"/>
      <c r="FBS41" s="240"/>
      <c r="FBT41" s="239"/>
      <c r="FBU41" s="240"/>
      <c r="FBV41" s="239"/>
      <c r="FBW41" s="240"/>
      <c r="FBX41" s="239"/>
      <c r="FBY41" s="240"/>
      <c r="FBZ41" s="239"/>
      <c r="FCA41" s="240"/>
      <c r="FCB41" s="239"/>
      <c r="FCC41" s="240"/>
      <c r="FCD41" s="239"/>
      <c r="FCE41" s="240"/>
      <c r="FCF41" s="239"/>
      <c r="FCG41" s="240"/>
      <c r="FCH41" s="239"/>
      <c r="FCI41" s="240"/>
      <c r="FCJ41" s="239"/>
      <c r="FCK41" s="240"/>
      <c r="FCL41" s="239"/>
      <c r="FCM41" s="240"/>
      <c r="FCN41" s="239"/>
      <c r="FCO41" s="240"/>
      <c r="FCP41" s="239"/>
      <c r="FCQ41" s="240"/>
      <c r="FCR41" s="239"/>
      <c r="FCS41" s="240"/>
      <c r="FCT41" s="239"/>
      <c r="FCU41" s="240"/>
      <c r="FCV41" s="239"/>
      <c r="FCW41" s="240"/>
      <c r="FCX41" s="239"/>
      <c r="FCY41" s="240"/>
      <c r="FCZ41" s="239"/>
      <c r="FDA41" s="240"/>
      <c r="FDB41" s="239"/>
      <c r="FDC41" s="240"/>
      <c r="FDD41" s="239"/>
      <c r="FDE41" s="240"/>
      <c r="FDF41" s="239"/>
      <c r="FDG41" s="240"/>
      <c r="FDH41" s="239"/>
      <c r="FDI41" s="240"/>
      <c r="FDJ41" s="239"/>
      <c r="FDK41" s="240"/>
      <c r="FDL41" s="239"/>
      <c r="FDM41" s="240"/>
      <c r="FDN41" s="239"/>
      <c r="FDO41" s="240"/>
      <c r="FDP41" s="239"/>
      <c r="FDQ41" s="240"/>
      <c r="FDR41" s="239"/>
      <c r="FDS41" s="240"/>
      <c r="FDT41" s="239"/>
      <c r="FDU41" s="240"/>
      <c r="FDV41" s="239"/>
      <c r="FDW41" s="240"/>
      <c r="FDX41" s="239"/>
      <c r="FDY41" s="240"/>
      <c r="FDZ41" s="239"/>
      <c r="FEA41" s="240"/>
      <c r="FEB41" s="239"/>
      <c r="FEC41" s="240"/>
      <c r="FED41" s="239"/>
      <c r="FEE41" s="240"/>
      <c r="FEF41" s="239"/>
      <c r="FEG41" s="240"/>
      <c r="FEH41" s="239"/>
      <c r="FEI41" s="240"/>
      <c r="FEJ41" s="239"/>
      <c r="FEK41" s="240"/>
      <c r="FEL41" s="239"/>
      <c r="FEM41" s="240"/>
      <c r="FEN41" s="239"/>
      <c r="FEO41" s="240"/>
      <c r="FEP41" s="239"/>
      <c r="FEQ41" s="240"/>
      <c r="FER41" s="239"/>
      <c r="FES41" s="240"/>
      <c r="FET41" s="239"/>
      <c r="FEU41" s="240"/>
      <c r="FEV41" s="239"/>
      <c r="FEW41" s="240"/>
      <c r="FEX41" s="239"/>
      <c r="FEY41" s="240"/>
      <c r="FEZ41" s="239"/>
      <c r="FFA41" s="240"/>
      <c r="FFB41" s="239"/>
      <c r="FFC41" s="240"/>
      <c r="FFD41" s="239"/>
      <c r="FFE41" s="240"/>
      <c r="FFF41" s="239"/>
      <c r="FFG41" s="240"/>
      <c r="FFH41" s="239"/>
      <c r="FFI41" s="240"/>
      <c r="FFJ41" s="239"/>
      <c r="FFK41" s="240"/>
      <c r="FFL41" s="239"/>
      <c r="FFM41" s="240"/>
      <c r="FFN41" s="239"/>
      <c r="FFO41" s="240"/>
      <c r="FFP41" s="239"/>
      <c r="FFQ41" s="240"/>
      <c r="FFR41" s="239"/>
      <c r="FFS41" s="240"/>
      <c r="FFT41" s="239"/>
      <c r="FFU41" s="240"/>
      <c r="FFV41" s="239"/>
      <c r="FFW41" s="240"/>
      <c r="FFX41" s="239"/>
      <c r="FFY41" s="240"/>
      <c r="FFZ41" s="239"/>
      <c r="FGA41" s="240"/>
      <c r="FGB41" s="239"/>
      <c r="FGC41" s="240"/>
      <c r="FGD41" s="239"/>
      <c r="FGE41" s="240"/>
      <c r="FGF41" s="239"/>
      <c r="FGG41" s="240"/>
      <c r="FGH41" s="239"/>
      <c r="FGI41" s="240"/>
      <c r="FGJ41" s="239"/>
      <c r="FGK41" s="240"/>
      <c r="FGL41" s="239"/>
      <c r="FGM41" s="240"/>
      <c r="FGN41" s="239"/>
      <c r="FGO41" s="240"/>
      <c r="FGP41" s="239"/>
      <c r="FGQ41" s="240"/>
      <c r="FGR41" s="239"/>
      <c r="FGS41" s="240"/>
      <c r="FGT41" s="239"/>
      <c r="FGU41" s="240"/>
      <c r="FGV41" s="239"/>
      <c r="FGW41" s="240"/>
      <c r="FGX41" s="239"/>
      <c r="FGY41" s="240"/>
      <c r="FGZ41" s="239"/>
      <c r="FHA41" s="240"/>
      <c r="FHB41" s="239"/>
      <c r="FHC41" s="240"/>
      <c r="FHD41" s="239"/>
      <c r="FHE41" s="240"/>
      <c r="FHF41" s="239"/>
      <c r="FHG41" s="240"/>
      <c r="FHH41" s="239"/>
      <c r="FHI41" s="240"/>
      <c r="FHJ41" s="239"/>
      <c r="FHK41" s="240"/>
      <c r="FHL41" s="239"/>
      <c r="FHM41" s="240"/>
      <c r="FHN41" s="239"/>
      <c r="FHO41" s="240"/>
      <c r="FHP41" s="239"/>
      <c r="FHQ41" s="240"/>
      <c r="FHR41" s="239"/>
      <c r="FHS41" s="240"/>
      <c r="FHT41" s="239"/>
      <c r="FHU41" s="240"/>
      <c r="FHV41" s="239"/>
      <c r="FHW41" s="240"/>
      <c r="FHX41" s="239"/>
      <c r="FHY41" s="240"/>
      <c r="FHZ41" s="239"/>
      <c r="FIA41" s="240"/>
      <c r="FIB41" s="239"/>
      <c r="FIC41" s="240"/>
      <c r="FID41" s="239"/>
      <c r="FIE41" s="240"/>
      <c r="FIF41" s="239"/>
      <c r="FIG41" s="240"/>
      <c r="FIH41" s="239"/>
      <c r="FII41" s="240"/>
      <c r="FIJ41" s="239"/>
      <c r="FIK41" s="240"/>
      <c r="FIL41" s="239"/>
      <c r="FIM41" s="240"/>
      <c r="FIN41" s="239"/>
      <c r="FIO41" s="240"/>
      <c r="FIP41" s="239"/>
      <c r="FIQ41" s="240"/>
      <c r="FIR41" s="239"/>
      <c r="FIS41" s="240"/>
      <c r="FIT41" s="239"/>
      <c r="FIU41" s="240"/>
      <c r="FIV41" s="239"/>
      <c r="FIW41" s="240"/>
      <c r="FIX41" s="239"/>
      <c r="FIY41" s="240"/>
      <c r="FIZ41" s="239"/>
      <c r="FJA41" s="240"/>
      <c r="FJB41" s="239"/>
      <c r="FJC41" s="240"/>
      <c r="FJD41" s="239"/>
      <c r="FJE41" s="240"/>
      <c r="FJF41" s="239"/>
      <c r="FJG41" s="240"/>
      <c r="FJH41" s="239"/>
      <c r="FJI41" s="240"/>
      <c r="FJJ41" s="239"/>
      <c r="FJK41" s="240"/>
      <c r="FJL41" s="239"/>
      <c r="FJM41" s="240"/>
      <c r="FJN41" s="239"/>
      <c r="FJO41" s="240"/>
      <c r="FJP41" s="239"/>
      <c r="FJQ41" s="240"/>
      <c r="FJR41" s="239"/>
      <c r="FJS41" s="240"/>
      <c r="FJT41" s="239"/>
      <c r="FJU41" s="240"/>
      <c r="FJV41" s="239"/>
      <c r="FJW41" s="240"/>
      <c r="FJX41" s="239"/>
      <c r="FJY41" s="240"/>
      <c r="FJZ41" s="239"/>
      <c r="FKA41" s="240"/>
      <c r="FKB41" s="239"/>
      <c r="FKC41" s="240"/>
      <c r="FKD41" s="239"/>
      <c r="FKE41" s="240"/>
      <c r="FKF41" s="239"/>
      <c r="FKG41" s="240"/>
      <c r="FKH41" s="239"/>
      <c r="FKI41" s="240"/>
      <c r="FKJ41" s="239"/>
      <c r="FKK41" s="240"/>
      <c r="FKL41" s="239"/>
      <c r="FKM41" s="240"/>
      <c r="FKN41" s="239"/>
      <c r="FKO41" s="240"/>
      <c r="FKP41" s="239"/>
      <c r="FKQ41" s="240"/>
      <c r="FKR41" s="239"/>
      <c r="FKS41" s="240"/>
      <c r="FKT41" s="239"/>
      <c r="FKU41" s="240"/>
      <c r="FKV41" s="239"/>
      <c r="FKW41" s="240"/>
      <c r="FKX41" s="239"/>
      <c r="FKY41" s="240"/>
      <c r="FKZ41" s="239"/>
      <c r="FLA41" s="240"/>
      <c r="FLB41" s="239"/>
      <c r="FLC41" s="240"/>
      <c r="FLD41" s="239"/>
      <c r="FLE41" s="240"/>
      <c r="FLF41" s="239"/>
      <c r="FLG41" s="240"/>
      <c r="FLH41" s="239"/>
      <c r="FLI41" s="240"/>
      <c r="FLJ41" s="239"/>
      <c r="FLK41" s="240"/>
      <c r="FLL41" s="239"/>
      <c r="FLM41" s="240"/>
      <c r="FLN41" s="239"/>
      <c r="FLO41" s="240"/>
      <c r="FLP41" s="239"/>
      <c r="FLQ41" s="240"/>
      <c r="FLR41" s="239"/>
      <c r="FLS41" s="240"/>
      <c r="FLT41" s="239"/>
      <c r="FLU41" s="240"/>
      <c r="FLV41" s="239"/>
      <c r="FLW41" s="240"/>
      <c r="FLX41" s="239"/>
      <c r="FLY41" s="240"/>
      <c r="FLZ41" s="239"/>
      <c r="FMA41" s="240"/>
      <c r="FMB41" s="239"/>
      <c r="FMC41" s="240"/>
      <c r="FMD41" s="239"/>
      <c r="FME41" s="240"/>
      <c r="FMF41" s="239"/>
      <c r="FMG41" s="240"/>
      <c r="FMH41" s="239"/>
      <c r="FMI41" s="240"/>
      <c r="FMJ41" s="239"/>
      <c r="FMK41" s="240"/>
      <c r="FML41" s="239"/>
      <c r="FMM41" s="240"/>
      <c r="FMN41" s="239"/>
      <c r="FMO41" s="240"/>
      <c r="FMP41" s="239"/>
      <c r="FMQ41" s="240"/>
      <c r="FMR41" s="239"/>
      <c r="FMS41" s="240"/>
      <c r="FMT41" s="239"/>
      <c r="FMU41" s="240"/>
      <c r="FMV41" s="239"/>
      <c r="FMW41" s="240"/>
      <c r="FMX41" s="239"/>
      <c r="FMY41" s="240"/>
      <c r="FMZ41" s="239"/>
      <c r="FNA41" s="240"/>
      <c r="FNB41" s="239"/>
      <c r="FNC41" s="240"/>
      <c r="FND41" s="239"/>
      <c r="FNE41" s="240"/>
      <c r="FNF41" s="239"/>
      <c r="FNG41" s="240"/>
      <c r="FNH41" s="239"/>
      <c r="FNI41" s="240"/>
      <c r="FNJ41" s="239"/>
      <c r="FNK41" s="240"/>
      <c r="FNL41" s="239"/>
      <c r="FNM41" s="240"/>
      <c r="FNN41" s="239"/>
      <c r="FNO41" s="240"/>
      <c r="FNP41" s="239"/>
      <c r="FNQ41" s="240"/>
      <c r="FNR41" s="239"/>
      <c r="FNS41" s="240"/>
      <c r="FNT41" s="239"/>
      <c r="FNU41" s="240"/>
      <c r="FNV41" s="239"/>
      <c r="FNW41" s="240"/>
      <c r="FNX41" s="239"/>
      <c r="FNY41" s="240"/>
      <c r="FNZ41" s="239"/>
      <c r="FOA41" s="240"/>
      <c r="FOB41" s="239"/>
      <c r="FOC41" s="240"/>
      <c r="FOD41" s="239"/>
      <c r="FOE41" s="240"/>
      <c r="FOF41" s="239"/>
      <c r="FOG41" s="240"/>
      <c r="FOH41" s="239"/>
      <c r="FOI41" s="240"/>
      <c r="FOJ41" s="239"/>
      <c r="FOK41" s="240"/>
      <c r="FOL41" s="239"/>
      <c r="FOM41" s="240"/>
      <c r="FON41" s="239"/>
      <c r="FOO41" s="240"/>
      <c r="FOP41" s="239"/>
      <c r="FOQ41" s="240"/>
      <c r="FOR41" s="239"/>
      <c r="FOS41" s="240"/>
      <c r="FOT41" s="239"/>
      <c r="FOU41" s="240"/>
      <c r="FOV41" s="239"/>
      <c r="FOW41" s="240"/>
      <c r="FOX41" s="239"/>
      <c r="FOY41" s="240"/>
      <c r="FOZ41" s="239"/>
      <c r="FPA41" s="240"/>
      <c r="FPB41" s="239"/>
      <c r="FPC41" s="240"/>
      <c r="FPD41" s="239"/>
      <c r="FPE41" s="240"/>
      <c r="FPF41" s="239"/>
      <c r="FPG41" s="240"/>
      <c r="FPH41" s="239"/>
      <c r="FPI41" s="240"/>
      <c r="FPJ41" s="239"/>
      <c r="FPK41" s="240"/>
      <c r="FPL41" s="239"/>
      <c r="FPM41" s="240"/>
      <c r="FPN41" s="239"/>
      <c r="FPO41" s="240"/>
      <c r="FPP41" s="239"/>
      <c r="FPQ41" s="240"/>
      <c r="FPR41" s="239"/>
      <c r="FPS41" s="240"/>
      <c r="FPT41" s="239"/>
      <c r="FPU41" s="240"/>
      <c r="FPV41" s="239"/>
      <c r="FPW41" s="240"/>
      <c r="FPX41" s="239"/>
      <c r="FPY41" s="240"/>
      <c r="FPZ41" s="239"/>
      <c r="FQA41" s="240"/>
      <c r="FQB41" s="239"/>
      <c r="FQC41" s="240"/>
      <c r="FQD41" s="239"/>
      <c r="FQE41" s="240"/>
      <c r="FQF41" s="239"/>
      <c r="FQG41" s="240"/>
      <c r="FQH41" s="239"/>
      <c r="FQI41" s="240"/>
      <c r="FQJ41" s="239"/>
      <c r="FQK41" s="240"/>
      <c r="FQL41" s="239"/>
      <c r="FQM41" s="240"/>
      <c r="FQN41" s="239"/>
      <c r="FQO41" s="240"/>
      <c r="FQP41" s="239"/>
      <c r="FQQ41" s="240"/>
      <c r="FQR41" s="239"/>
      <c r="FQS41" s="240"/>
      <c r="FQT41" s="239"/>
      <c r="FQU41" s="240"/>
      <c r="FQV41" s="239"/>
      <c r="FQW41" s="240"/>
      <c r="FQX41" s="239"/>
      <c r="FQY41" s="240"/>
      <c r="FQZ41" s="239"/>
      <c r="FRA41" s="240"/>
      <c r="FRB41" s="239"/>
      <c r="FRC41" s="240"/>
      <c r="FRD41" s="239"/>
      <c r="FRE41" s="240"/>
      <c r="FRF41" s="239"/>
      <c r="FRG41" s="240"/>
      <c r="FRH41" s="239"/>
      <c r="FRI41" s="240"/>
      <c r="FRJ41" s="239"/>
      <c r="FRK41" s="240"/>
      <c r="FRL41" s="239"/>
      <c r="FRM41" s="240"/>
      <c r="FRN41" s="239"/>
      <c r="FRO41" s="240"/>
      <c r="FRP41" s="239"/>
      <c r="FRQ41" s="240"/>
      <c r="FRR41" s="239"/>
      <c r="FRS41" s="240"/>
      <c r="FRT41" s="239"/>
      <c r="FRU41" s="240"/>
      <c r="FRV41" s="239"/>
      <c r="FRW41" s="240"/>
      <c r="FRX41" s="239"/>
      <c r="FRY41" s="240"/>
      <c r="FRZ41" s="239"/>
      <c r="FSA41" s="240"/>
      <c r="FSB41" s="239"/>
      <c r="FSC41" s="240"/>
      <c r="FSD41" s="239"/>
      <c r="FSE41" s="240"/>
      <c r="FSF41" s="239"/>
      <c r="FSG41" s="240"/>
      <c r="FSH41" s="239"/>
      <c r="FSI41" s="240"/>
      <c r="FSJ41" s="239"/>
      <c r="FSK41" s="240"/>
      <c r="FSL41" s="239"/>
      <c r="FSM41" s="240"/>
      <c r="FSN41" s="239"/>
      <c r="FSO41" s="240"/>
      <c r="FSP41" s="239"/>
      <c r="FSQ41" s="240"/>
      <c r="FSR41" s="239"/>
      <c r="FSS41" s="240"/>
      <c r="FST41" s="239"/>
      <c r="FSU41" s="240"/>
      <c r="FSV41" s="239"/>
      <c r="FSW41" s="240"/>
      <c r="FSX41" s="239"/>
      <c r="FSY41" s="240"/>
      <c r="FSZ41" s="239"/>
      <c r="FTA41" s="240"/>
      <c r="FTB41" s="239"/>
      <c r="FTC41" s="240"/>
      <c r="FTD41" s="239"/>
      <c r="FTE41" s="240"/>
      <c r="FTF41" s="239"/>
      <c r="FTG41" s="240"/>
      <c r="FTH41" s="239"/>
      <c r="FTI41" s="240"/>
      <c r="FTJ41" s="239"/>
      <c r="FTK41" s="240"/>
      <c r="FTL41" s="239"/>
      <c r="FTM41" s="240"/>
      <c r="FTN41" s="239"/>
      <c r="FTO41" s="240"/>
      <c r="FTP41" s="239"/>
      <c r="FTQ41" s="240"/>
      <c r="FTR41" s="239"/>
      <c r="FTS41" s="240"/>
      <c r="FTT41" s="239"/>
      <c r="FTU41" s="240"/>
      <c r="FTV41" s="239"/>
      <c r="FTW41" s="240"/>
      <c r="FTX41" s="239"/>
      <c r="FTY41" s="240"/>
      <c r="FTZ41" s="239"/>
      <c r="FUA41" s="240"/>
      <c r="FUB41" s="239"/>
      <c r="FUC41" s="240"/>
      <c r="FUD41" s="239"/>
      <c r="FUE41" s="240"/>
      <c r="FUF41" s="239"/>
      <c r="FUG41" s="240"/>
      <c r="FUH41" s="239"/>
      <c r="FUI41" s="240"/>
      <c r="FUJ41" s="239"/>
      <c r="FUK41" s="240"/>
      <c r="FUL41" s="239"/>
      <c r="FUM41" s="240"/>
      <c r="FUN41" s="239"/>
      <c r="FUO41" s="240"/>
      <c r="FUP41" s="239"/>
      <c r="FUQ41" s="240"/>
      <c r="FUR41" s="239"/>
      <c r="FUS41" s="240"/>
      <c r="FUT41" s="239"/>
      <c r="FUU41" s="240"/>
      <c r="FUV41" s="239"/>
      <c r="FUW41" s="240"/>
      <c r="FUX41" s="239"/>
      <c r="FUY41" s="240"/>
      <c r="FUZ41" s="239"/>
      <c r="FVA41" s="240"/>
      <c r="FVB41" s="239"/>
      <c r="FVC41" s="240"/>
      <c r="FVD41" s="239"/>
      <c r="FVE41" s="240"/>
      <c r="FVF41" s="239"/>
      <c r="FVG41" s="240"/>
      <c r="FVH41" s="239"/>
      <c r="FVI41" s="240"/>
      <c r="FVJ41" s="239"/>
      <c r="FVK41" s="240"/>
      <c r="FVL41" s="239"/>
      <c r="FVM41" s="240"/>
      <c r="FVN41" s="239"/>
      <c r="FVO41" s="240"/>
      <c r="FVP41" s="239"/>
      <c r="FVQ41" s="240"/>
      <c r="FVR41" s="239"/>
      <c r="FVS41" s="240"/>
      <c r="FVT41" s="239"/>
      <c r="FVU41" s="240"/>
      <c r="FVV41" s="239"/>
      <c r="FVW41" s="240"/>
      <c r="FVX41" s="239"/>
      <c r="FVY41" s="240"/>
      <c r="FVZ41" s="239"/>
      <c r="FWA41" s="240"/>
      <c r="FWB41" s="239"/>
      <c r="FWC41" s="240"/>
      <c r="FWD41" s="239"/>
      <c r="FWE41" s="240"/>
      <c r="FWF41" s="239"/>
      <c r="FWG41" s="240"/>
      <c r="FWH41" s="239"/>
      <c r="FWI41" s="240"/>
      <c r="FWJ41" s="239"/>
      <c r="FWK41" s="240"/>
      <c r="FWL41" s="239"/>
      <c r="FWM41" s="240"/>
      <c r="FWN41" s="239"/>
      <c r="FWO41" s="240"/>
      <c r="FWP41" s="239"/>
      <c r="FWQ41" s="240"/>
      <c r="FWR41" s="239"/>
      <c r="FWS41" s="240"/>
      <c r="FWT41" s="239"/>
      <c r="FWU41" s="240"/>
      <c r="FWV41" s="239"/>
      <c r="FWW41" s="240"/>
      <c r="FWX41" s="239"/>
      <c r="FWY41" s="240"/>
      <c r="FWZ41" s="239"/>
      <c r="FXA41" s="240"/>
      <c r="FXB41" s="239"/>
      <c r="FXC41" s="240"/>
      <c r="FXD41" s="239"/>
      <c r="FXE41" s="240"/>
      <c r="FXF41" s="239"/>
      <c r="FXG41" s="240"/>
      <c r="FXH41" s="239"/>
      <c r="FXI41" s="240"/>
      <c r="FXJ41" s="239"/>
      <c r="FXK41" s="240"/>
      <c r="FXL41" s="239"/>
      <c r="FXM41" s="240"/>
      <c r="FXN41" s="239"/>
      <c r="FXO41" s="240"/>
      <c r="FXP41" s="239"/>
      <c r="FXQ41" s="240"/>
      <c r="FXR41" s="239"/>
      <c r="FXS41" s="240"/>
      <c r="FXT41" s="239"/>
      <c r="FXU41" s="240"/>
      <c r="FXV41" s="239"/>
      <c r="FXW41" s="240"/>
      <c r="FXX41" s="239"/>
      <c r="FXY41" s="240"/>
      <c r="FXZ41" s="239"/>
      <c r="FYA41" s="240"/>
      <c r="FYB41" s="239"/>
      <c r="FYC41" s="240"/>
      <c r="FYD41" s="239"/>
      <c r="FYE41" s="240"/>
      <c r="FYF41" s="239"/>
      <c r="FYG41" s="240"/>
      <c r="FYH41" s="239"/>
      <c r="FYI41" s="240"/>
      <c r="FYJ41" s="239"/>
      <c r="FYK41" s="240"/>
      <c r="FYL41" s="239"/>
      <c r="FYM41" s="240"/>
      <c r="FYN41" s="239"/>
      <c r="FYO41" s="240"/>
      <c r="FYP41" s="239"/>
      <c r="FYQ41" s="240"/>
      <c r="FYR41" s="239"/>
      <c r="FYS41" s="240"/>
      <c r="FYT41" s="239"/>
      <c r="FYU41" s="240"/>
      <c r="FYV41" s="239"/>
      <c r="FYW41" s="240"/>
      <c r="FYX41" s="239"/>
      <c r="FYY41" s="240"/>
      <c r="FYZ41" s="239"/>
      <c r="FZA41" s="240"/>
      <c r="FZB41" s="239"/>
      <c r="FZC41" s="240"/>
      <c r="FZD41" s="239"/>
      <c r="FZE41" s="240"/>
      <c r="FZF41" s="239"/>
      <c r="FZG41" s="240"/>
      <c r="FZH41" s="239"/>
      <c r="FZI41" s="240"/>
      <c r="FZJ41" s="239"/>
      <c r="FZK41" s="240"/>
      <c r="FZL41" s="239"/>
      <c r="FZM41" s="240"/>
      <c r="FZN41" s="239"/>
      <c r="FZO41" s="240"/>
      <c r="FZP41" s="239"/>
      <c r="FZQ41" s="240"/>
      <c r="FZR41" s="239"/>
      <c r="FZS41" s="240"/>
      <c r="FZT41" s="239"/>
      <c r="FZU41" s="240"/>
      <c r="FZV41" s="239"/>
      <c r="FZW41" s="240"/>
      <c r="FZX41" s="239"/>
      <c r="FZY41" s="240"/>
      <c r="FZZ41" s="239"/>
      <c r="GAA41" s="240"/>
      <c r="GAB41" s="239"/>
      <c r="GAC41" s="240"/>
      <c r="GAD41" s="239"/>
      <c r="GAE41" s="240"/>
      <c r="GAF41" s="239"/>
      <c r="GAG41" s="240"/>
      <c r="GAH41" s="239"/>
      <c r="GAI41" s="240"/>
      <c r="GAJ41" s="239"/>
      <c r="GAK41" s="240"/>
      <c r="GAL41" s="239"/>
      <c r="GAM41" s="240"/>
      <c r="GAN41" s="239"/>
      <c r="GAO41" s="240"/>
      <c r="GAP41" s="239"/>
      <c r="GAQ41" s="240"/>
      <c r="GAR41" s="239"/>
      <c r="GAS41" s="240"/>
      <c r="GAT41" s="239"/>
      <c r="GAU41" s="240"/>
      <c r="GAV41" s="239"/>
      <c r="GAW41" s="240"/>
      <c r="GAX41" s="239"/>
      <c r="GAY41" s="240"/>
      <c r="GAZ41" s="239"/>
      <c r="GBA41" s="240"/>
      <c r="GBB41" s="239"/>
      <c r="GBC41" s="240"/>
      <c r="GBD41" s="239"/>
      <c r="GBE41" s="240"/>
      <c r="GBF41" s="239"/>
      <c r="GBG41" s="240"/>
      <c r="GBH41" s="239"/>
      <c r="GBI41" s="240"/>
      <c r="GBJ41" s="239"/>
      <c r="GBK41" s="240"/>
      <c r="GBL41" s="239"/>
      <c r="GBM41" s="240"/>
      <c r="GBN41" s="239"/>
      <c r="GBO41" s="240"/>
      <c r="GBP41" s="239"/>
      <c r="GBQ41" s="240"/>
      <c r="GBR41" s="239"/>
      <c r="GBS41" s="240"/>
      <c r="GBT41" s="239"/>
      <c r="GBU41" s="240"/>
      <c r="GBV41" s="239"/>
      <c r="GBW41" s="240"/>
      <c r="GBX41" s="239"/>
      <c r="GBY41" s="240"/>
      <c r="GBZ41" s="239"/>
      <c r="GCA41" s="240"/>
      <c r="GCB41" s="239"/>
      <c r="GCC41" s="240"/>
      <c r="GCD41" s="239"/>
      <c r="GCE41" s="240"/>
      <c r="GCF41" s="239"/>
      <c r="GCG41" s="240"/>
      <c r="GCH41" s="239"/>
      <c r="GCI41" s="240"/>
      <c r="GCJ41" s="239"/>
      <c r="GCK41" s="240"/>
      <c r="GCL41" s="239"/>
      <c r="GCM41" s="240"/>
      <c r="GCN41" s="239"/>
      <c r="GCO41" s="240"/>
      <c r="GCP41" s="239"/>
      <c r="GCQ41" s="240"/>
      <c r="GCR41" s="239"/>
      <c r="GCS41" s="240"/>
      <c r="GCT41" s="239"/>
      <c r="GCU41" s="240"/>
      <c r="GCV41" s="239"/>
      <c r="GCW41" s="240"/>
      <c r="GCX41" s="239"/>
      <c r="GCY41" s="240"/>
      <c r="GCZ41" s="239"/>
      <c r="GDA41" s="240"/>
      <c r="GDB41" s="239"/>
      <c r="GDC41" s="240"/>
      <c r="GDD41" s="239"/>
      <c r="GDE41" s="240"/>
      <c r="GDF41" s="239"/>
      <c r="GDG41" s="240"/>
      <c r="GDH41" s="239"/>
      <c r="GDI41" s="240"/>
      <c r="GDJ41" s="239"/>
      <c r="GDK41" s="240"/>
      <c r="GDL41" s="239"/>
      <c r="GDM41" s="240"/>
      <c r="GDN41" s="239"/>
      <c r="GDO41" s="240"/>
      <c r="GDP41" s="239"/>
      <c r="GDQ41" s="240"/>
      <c r="GDR41" s="239"/>
      <c r="GDS41" s="240"/>
      <c r="GDT41" s="239"/>
      <c r="GDU41" s="240"/>
      <c r="GDV41" s="239"/>
      <c r="GDW41" s="240"/>
      <c r="GDX41" s="239"/>
      <c r="GDY41" s="240"/>
      <c r="GDZ41" s="239"/>
      <c r="GEA41" s="240"/>
      <c r="GEB41" s="239"/>
      <c r="GEC41" s="240"/>
      <c r="GED41" s="239"/>
      <c r="GEE41" s="240"/>
      <c r="GEF41" s="239"/>
      <c r="GEG41" s="240"/>
      <c r="GEH41" s="239"/>
      <c r="GEI41" s="240"/>
      <c r="GEJ41" s="239"/>
      <c r="GEK41" s="240"/>
      <c r="GEL41" s="239"/>
      <c r="GEM41" s="240"/>
      <c r="GEN41" s="239"/>
      <c r="GEO41" s="240"/>
      <c r="GEP41" s="239"/>
      <c r="GEQ41" s="240"/>
      <c r="GER41" s="239"/>
      <c r="GES41" s="240"/>
      <c r="GET41" s="239"/>
      <c r="GEU41" s="240"/>
      <c r="GEV41" s="239"/>
      <c r="GEW41" s="240"/>
      <c r="GEX41" s="239"/>
      <c r="GEY41" s="240"/>
      <c r="GEZ41" s="239"/>
      <c r="GFA41" s="240"/>
      <c r="GFB41" s="239"/>
      <c r="GFC41" s="240"/>
      <c r="GFD41" s="239"/>
      <c r="GFE41" s="240"/>
      <c r="GFF41" s="239"/>
      <c r="GFG41" s="240"/>
      <c r="GFH41" s="239"/>
      <c r="GFI41" s="240"/>
      <c r="GFJ41" s="239"/>
      <c r="GFK41" s="240"/>
      <c r="GFL41" s="239"/>
      <c r="GFM41" s="240"/>
      <c r="GFN41" s="239"/>
      <c r="GFO41" s="240"/>
      <c r="GFP41" s="239"/>
      <c r="GFQ41" s="240"/>
      <c r="GFR41" s="239"/>
      <c r="GFS41" s="240"/>
      <c r="GFT41" s="239"/>
      <c r="GFU41" s="240"/>
      <c r="GFV41" s="239"/>
      <c r="GFW41" s="240"/>
      <c r="GFX41" s="239"/>
      <c r="GFY41" s="240"/>
      <c r="GFZ41" s="239"/>
      <c r="GGA41" s="240"/>
      <c r="GGB41" s="239"/>
      <c r="GGC41" s="240"/>
      <c r="GGD41" s="239"/>
      <c r="GGE41" s="240"/>
      <c r="GGF41" s="239"/>
      <c r="GGG41" s="240"/>
      <c r="GGH41" s="239"/>
      <c r="GGI41" s="240"/>
      <c r="GGJ41" s="239"/>
      <c r="GGK41" s="240"/>
      <c r="GGL41" s="239"/>
      <c r="GGM41" s="240"/>
      <c r="GGN41" s="239"/>
      <c r="GGO41" s="240"/>
      <c r="GGP41" s="239"/>
      <c r="GGQ41" s="240"/>
      <c r="GGR41" s="239"/>
      <c r="GGS41" s="240"/>
      <c r="GGT41" s="239"/>
      <c r="GGU41" s="240"/>
      <c r="GGV41" s="239"/>
      <c r="GGW41" s="240"/>
      <c r="GGX41" s="239"/>
      <c r="GGY41" s="240"/>
      <c r="GGZ41" s="239"/>
      <c r="GHA41" s="240"/>
      <c r="GHB41" s="239"/>
      <c r="GHC41" s="240"/>
      <c r="GHD41" s="239"/>
      <c r="GHE41" s="240"/>
      <c r="GHF41" s="239"/>
      <c r="GHG41" s="240"/>
      <c r="GHH41" s="239"/>
      <c r="GHI41" s="240"/>
      <c r="GHJ41" s="239"/>
      <c r="GHK41" s="240"/>
      <c r="GHL41" s="239"/>
      <c r="GHM41" s="240"/>
      <c r="GHN41" s="239"/>
      <c r="GHO41" s="240"/>
      <c r="GHP41" s="239"/>
      <c r="GHQ41" s="240"/>
      <c r="GHR41" s="239"/>
      <c r="GHS41" s="240"/>
      <c r="GHT41" s="239"/>
      <c r="GHU41" s="240"/>
      <c r="GHV41" s="239"/>
      <c r="GHW41" s="240"/>
      <c r="GHX41" s="239"/>
      <c r="GHY41" s="240"/>
      <c r="GHZ41" s="239"/>
      <c r="GIA41" s="240"/>
      <c r="GIB41" s="239"/>
      <c r="GIC41" s="240"/>
      <c r="GID41" s="239"/>
      <c r="GIE41" s="240"/>
      <c r="GIF41" s="239"/>
      <c r="GIG41" s="240"/>
      <c r="GIH41" s="239"/>
      <c r="GII41" s="240"/>
      <c r="GIJ41" s="239"/>
      <c r="GIK41" s="240"/>
      <c r="GIL41" s="239"/>
      <c r="GIM41" s="240"/>
      <c r="GIN41" s="239"/>
      <c r="GIO41" s="240"/>
      <c r="GIP41" s="239"/>
      <c r="GIQ41" s="240"/>
      <c r="GIR41" s="239"/>
      <c r="GIS41" s="240"/>
      <c r="GIT41" s="239"/>
      <c r="GIU41" s="240"/>
      <c r="GIV41" s="239"/>
      <c r="GIW41" s="240"/>
      <c r="GIX41" s="239"/>
      <c r="GIY41" s="240"/>
      <c r="GIZ41" s="239"/>
      <c r="GJA41" s="240"/>
      <c r="GJB41" s="239"/>
      <c r="GJC41" s="240"/>
      <c r="GJD41" s="239"/>
      <c r="GJE41" s="240"/>
      <c r="GJF41" s="239"/>
      <c r="GJG41" s="240"/>
      <c r="GJH41" s="239"/>
      <c r="GJI41" s="240"/>
      <c r="GJJ41" s="239"/>
      <c r="GJK41" s="240"/>
      <c r="GJL41" s="239"/>
      <c r="GJM41" s="240"/>
      <c r="GJN41" s="239"/>
      <c r="GJO41" s="240"/>
      <c r="GJP41" s="239"/>
      <c r="GJQ41" s="240"/>
      <c r="GJR41" s="239"/>
      <c r="GJS41" s="240"/>
      <c r="GJT41" s="239"/>
      <c r="GJU41" s="240"/>
      <c r="GJV41" s="239"/>
      <c r="GJW41" s="240"/>
      <c r="GJX41" s="239"/>
      <c r="GJY41" s="240"/>
      <c r="GJZ41" s="239"/>
      <c r="GKA41" s="240"/>
      <c r="GKB41" s="239"/>
      <c r="GKC41" s="240"/>
      <c r="GKD41" s="239"/>
      <c r="GKE41" s="240"/>
      <c r="GKF41" s="239"/>
      <c r="GKG41" s="240"/>
      <c r="GKH41" s="239"/>
      <c r="GKI41" s="240"/>
      <c r="GKJ41" s="239"/>
      <c r="GKK41" s="240"/>
      <c r="GKL41" s="239"/>
      <c r="GKM41" s="240"/>
      <c r="GKN41" s="239"/>
      <c r="GKO41" s="240"/>
      <c r="GKP41" s="239"/>
      <c r="GKQ41" s="240"/>
      <c r="GKR41" s="239"/>
      <c r="GKS41" s="240"/>
      <c r="GKT41" s="239"/>
      <c r="GKU41" s="240"/>
      <c r="GKV41" s="239"/>
      <c r="GKW41" s="240"/>
      <c r="GKX41" s="239"/>
      <c r="GKY41" s="240"/>
      <c r="GKZ41" s="239"/>
      <c r="GLA41" s="240"/>
      <c r="GLB41" s="239"/>
      <c r="GLC41" s="240"/>
      <c r="GLD41" s="239"/>
      <c r="GLE41" s="240"/>
      <c r="GLF41" s="239"/>
      <c r="GLG41" s="240"/>
      <c r="GLH41" s="239"/>
      <c r="GLI41" s="240"/>
      <c r="GLJ41" s="239"/>
      <c r="GLK41" s="240"/>
      <c r="GLL41" s="239"/>
      <c r="GLM41" s="240"/>
      <c r="GLN41" s="239"/>
      <c r="GLO41" s="240"/>
      <c r="GLP41" s="239"/>
      <c r="GLQ41" s="240"/>
      <c r="GLR41" s="239"/>
      <c r="GLS41" s="240"/>
      <c r="GLT41" s="239"/>
      <c r="GLU41" s="240"/>
      <c r="GLV41" s="239"/>
      <c r="GLW41" s="240"/>
      <c r="GLX41" s="239"/>
      <c r="GLY41" s="240"/>
      <c r="GLZ41" s="239"/>
      <c r="GMA41" s="240"/>
      <c r="GMB41" s="239"/>
      <c r="GMC41" s="240"/>
      <c r="GMD41" s="239"/>
      <c r="GME41" s="240"/>
      <c r="GMF41" s="239"/>
      <c r="GMG41" s="240"/>
      <c r="GMH41" s="239"/>
      <c r="GMI41" s="240"/>
      <c r="GMJ41" s="239"/>
      <c r="GMK41" s="240"/>
      <c r="GML41" s="239"/>
      <c r="GMM41" s="240"/>
      <c r="GMN41" s="239"/>
      <c r="GMO41" s="240"/>
      <c r="GMP41" s="239"/>
      <c r="GMQ41" s="240"/>
      <c r="GMR41" s="239"/>
      <c r="GMS41" s="240"/>
      <c r="GMT41" s="239"/>
      <c r="GMU41" s="240"/>
      <c r="GMV41" s="239"/>
      <c r="GMW41" s="240"/>
      <c r="GMX41" s="239"/>
      <c r="GMY41" s="240"/>
      <c r="GMZ41" s="239"/>
      <c r="GNA41" s="240"/>
      <c r="GNB41" s="239"/>
      <c r="GNC41" s="240"/>
      <c r="GND41" s="239"/>
      <c r="GNE41" s="240"/>
      <c r="GNF41" s="239"/>
      <c r="GNG41" s="240"/>
      <c r="GNH41" s="239"/>
      <c r="GNI41" s="240"/>
      <c r="GNJ41" s="239"/>
      <c r="GNK41" s="240"/>
      <c r="GNL41" s="239"/>
      <c r="GNM41" s="240"/>
      <c r="GNN41" s="239"/>
      <c r="GNO41" s="240"/>
      <c r="GNP41" s="239"/>
      <c r="GNQ41" s="240"/>
      <c r="GNR41" s="239"/>
      <c r="GNS41" s="240"/>
      <c r="GNT41" s="239"/>
      <c r="GNU41" s="240"/>
      <c r="GNV41" s="239"/>
      <c r="GNW41" s="240"/>
      <c r="GNX41" s="239"/>
      <c r="GNY41" s="240"/>
      <c r="GNZ41" s="239"/>
      <c r="GOA41" s="240"/>
      <c r="GOB41" s="239"/>
      <c r="GOC41" s="240"/>
      <c r="GOD41" s="239"/>
      <c r="GOE41" s="240"/>
      <c r="GOF41" s="239"/>
      <c r="GOG41" s="240"/>
      <c r="GOH41" s="239"/>
      <c r="GOI41" s="240"/>
      <c r="GOJ41" s="239"/>
      <c r="GOK41" s="240"/>
      <c r="GOL41" s="239"/>
      <c r="GOM41" s="240"/>
      <c r="GON41" s="239"/>
      <c r="GOO41" s="240"/>
      <c r="GOP41" s="239"/>
      <c r="GOQ41" s="240"/>
      <c r="GOR41" s="239"/>
      <c r="GOS41" s="240"/>
      <c r="GOT41" s="239"/>
      <c r="GOU41" s="240"/>
      <c r="GOV41" s="239"/>
      <c r="GOW41" s="240"/>
      <c r="GOX41" s="239"/>
      <c r="GOY41" s="240"/>
      <c r="GOZ41" s="239"/>
      <c r="GPA41" s="240"/>
      <c r="GPB41" s="239"/>
      <c r="GPC41" s="240"/>
      <c r="GPD41" s="239"/>
      <c r="GPE41" s="240"/>
      <c r="GPF41" s="239"/>
      <c r="GPG41" s="240"/>
      <c r="GPH41" s="239"/>
      <c r="GPI41" s="240"/>
      <c r="GPJ41" s="239"/>
      <c r="GPK41" s="240"/>
      <c r="GPL41" s="239"/>
      <c r="GPM41" s="240"/>
      <c r="GPN41" s="239"/>
      <c r="GPO41" s="240"/>
      <c r="GPP41" s="239"/>
      <c r="GPQ41" s="240"/>
      <c r="GPR41" s="239"/>
      <c r="GPS41" s="240"/>
      <c r="GPT41" s="239"/>
      <c r="GPU41" s="240"/>
      <c r="GPV41" s="239"/>
      <c r="GPW41" s="240"/>
      <c r="GPX41" s="239"/>
      <c r="GPY41" s="240"/>
      <c r="GPZ41" s="239"/>
      <c r="GQA41" s="240"/>
      <c r="GQB41" s="239"/>
      <c r="GQC41" s="240"/>
      <c r="GQD41" s="239"/>
      <c r="GQE41" s="240"/>
      <c r="GQF41" s="239"/>
      <c r="GQG41" s="240"/>
      <c r="GQH41" s="239"/>
      <c r="GQI41" s="240"/>
      <c r="GQJ41" s="239"/>
      <c r="GQK41" s="240"/>
      <c r="GQL41" s="239"/>
      <c r="GQM41" s="240"/>
      <c r="GQN41" s="239"/>
      <c r="GQO41" s="240"/>
      <c r="GQP41" s="239"/>
      <c r="GQQ41" s="240"/>
      <c r="GQR41" s="239"/>
      <c r="GQS41" s="240"/>
      <c r="GQT41" s="239"/>
      <c r="GQU41" s="240"/>
      <c r="GQV41" s="239"/>
      <c r="GQW41" s="240"/>
      <c r="GQX41" s="239"/>
      <c r="GQY41" s="240"/>
      <c r="GQZ41" s="239"/>
      <c r="GRA41" s="240"/>
      <c r="GRB41" s="239"/>
      <c r="GRC41" s="240"/>
      <c r="GRD41" s="239"/>
      <c r="GRE41" s="240"/>
      <c r="GRF41" s="239"/>
      <c r="GRG41" s="240"/>
      <c r="GRH41" s="239"/>
      <c r="GRI41" s="240"/>
      <c r="GRJ41" s="239"/>
      <c r="GRK41" s="240"/>
      <c r="GRL41" s="239"/>
      <c r="GRM41" s="240"/>
      <c r="GRN41" s="239"/>
      <c r="GRO41" s="240"/>
      <c r="GRP41" s="239"/>
      <c r="GRQ41" s="240"/>
      <c r="GRR41" s="239"/>
      <c r="GRS41" s="240"/>
      <c r="GRT41" s="239"/>
      <c r="GRU41" s="240"/>
      <c r="GRV41" s="239"/>
      <c r="GRW41" s="240"/>
      <c r="GRX41" s="239"/>
      <c r="GRY41" s="240"/>
      <c r="GRZ41" s="239"/>
      <c r="GSA41" s="240"/>
      <c r="GSB41" s="239"/>
      <c r="GSC41" s="240"/>
      <c r="GSD41" s="239"/>
      <c r="GSE41" s="240"/>
      <c r="GSF41" s="239"/>
      <c r="GSG41" s="240"/>
      <c r="GSH41" s="239"/>
      <c r="GSI41" s="240"/>
      <c r="GSJ41" s="239"/>
      <c r="GSK41" s="240"/>
      <c r="GSL41" s="239"/>
      <c r="GSM41" s="240"/>
      <c r="GSN41" s="239"/>
      <c r="GSO41" s="240"/>
      <c r="GSP41" s="239"/>
      <c r="GSQ41" s="240"/>
      <c r="GSR41" s="239"/>
      <c r="GSS41" s="240"/>
      <c r="GST41" s="239"/>
      <c r="GSU41" s="240"/>
      <c r="GSV41" s="239"/>
      <c r="GSW41" s="240"/>
      <c r="GSX41" s="239"/>
      <c r="GSY41" s="240"/>
      <c r="GSZ41" s="239"/>
      <c r="GTA41" s="240"/>
      <c r="GTB41" s="239"/>
      <c r="GTC41" s="240"/>
      <c r="GTD41" s="239"/>
      <c r="GTE41" s="240"/>
      <c r="GTF41" s="239"/>
      <c r="GTG41" s="240"/>
      <c r="GTH41" s="239"/>
      <c r="GTI41" s="240"/>
      <c r="GTJ41" s="239"/>
      <c r="GTK41" s="240"/>
      <c r="GTL41" s="239"/>
      <c r="GTM41" s="240"/>
      <c r="GTN41" s="239"/>
      <c r="GTO41" s="240"/>
      <c r="GTP41" s="239"/>
      <c r="GTQ41" s="240"/>
      <c r="GTR41" s="239"/>
      <c r="GTS41" s="240"/>
      <c r="GTT41" s="239"/>
      <c r="GTU41" s="240"/>
      <c r="GTV41" s="239"/>
      <c r="GTW41" s="240"/>
      <c r="GTX41" s="239"/>
      <c r="GTY41" s="240"/>
      <c r="GTZ41" s="239"/>
      <c r="GUA41" s="240"/>
      <c r="GUB41" s="239"/>
      <c r="GUC41" s="240"/>
      <c r="GUD41" s="239"/>
      <c r="GUE41" s="240"/>
      <c r="GUF41" s="239"/>
      <c r="GUG41" s="240"/>
      <c r="GUH41" s="239"/>
      <c r="GUI41" s="240"/>
      <c r="GUJ41" s="239"/>
      <c r="GUK41" s="240"/>
      <c r="GUL41" s="239"/>
      <c r="GUM41" s="240"/>
      <c r="GUN41" s="239"/>
      <c r="GUO41" s="240"/>
      <c r="GUP41" s="239"/>
      <c r="GUQ41" s="240"/>
      <c r="GUR41" s="239"/>
      <c r="GUS41" s="240"/>
      <c r="GUT41" s="239"/>
      <c r="GUU41" s="240"/>
      <c r="GUV41" s="239"/>
      <c r="GUW41" s="240"/>
      <c r="GUX41" s="239"/>
      <c r="GUY41" s="240"/>
      <c r="GUZ41" s="239"/>
      <c r="GVA41" s="240"/>
      <c r="GVB41" s="239"/>
      <c r="GVC41" s="240"/>
      <c r="GVD41" s="239"/>
      <c r="GVE41" s="240"/>
      <c r="GVF41" s="239"/>
      <c r="GVG41" s="240"/>
      <c r="GVH41" s="239"/>
      <c r="GVI41" s="240"/>
      <c r="GVJ41" s="239"/>
      <c r="GVK41" s="240"/>
      <c r="GVL41" s="239"/>
      <c r="GVM41" s="240"/>
      <c r="GVN41" s="239"/>
      <c r="GVO41" s="240"/>
      <c r="GVP41" s="239"/>
      <c r="GVQ41" s="240"/>
      <c r="GVR41" s="239"/>
      <c r="GVS41" s="240"/>
      <c r="GVT41" s="239"/>
      <c r="GVU41" s="240"/>
      <c r="GVV41" s="239"/>
      <c r="GVW41" s="240"/>
      <c r="GVX41" s="239"/>
      <c r="GVY41" s="240"/>
      <c r="GVZ41" s="239"/>
      <c r="GWA41" s="240"/>
      <c r="GWB41" s="239"/>
      <c r="GWC41" s="240"/>
      <c r="GWD41" s="239"/>
      <c r="GWE41" s="240"/>
      <c r="GWF41" s="239"/>
      <c r="GWG41" s="240"/>
      <c r="GWH41" s="239"/>
      <c r="GWI41" s="240"/>
      <c r="GWJ41" s="239"/>
      <c r="GWK41" s="240"/>
      <c r="GWL41" s="239"/>
      <c r="GWM41" s="240"/>
      <c r="GWN41" s="239"/>
      <c r="GWO41" s="240"/>
      <c r="GWP41" s="239"/>
      <c r="GWQ41" s="240"/>
      <c r="GWR41" s="239"/>
      <c r="GWS41" s="240"/>
      <c r="GWT41" s="239"/>
      <c r="GWU41" s="240"/>
      <c r="GWV41" s="239"/>
      <c r="GWW41" s="240"/>
      <c r="GWX41" s="239"/>
      <c r="GWY41" s="240"/>
      <c r="GWZ41" s="239"/>
      <c r="GXA41" s="240"/>
      <c r="GXB41" s="239"/>
      <c r="GXC41" s="240"/>
      <c r="GXD41" s="239"/>
      <c r="GXE41" s="240"/>
      <c r="GXF41" s="239"/>
      <c r="GXG41" s="240"/>
      <c r="GXH41" s="239"/>
      <c r="GXI41" s="240"/>
      <c r="GXJ41" s="239"/>
      <c r="GXK41" s="240"/>
      <c r="GXL41" s="239"/>
      <c r="GXM41" s="240"/>
      <c r="GXN41" s="239"/>
      <c r="GXO41" s="240"/>
      <c r="GXP41" s="239"/>
      <c r="GXQ41" s="240"/>
      <c r="GXR41" s="239"/>
      <c r="GXS41" s="240"/>
      <c r="GXT41" s="239"/>
      <c r="GXU41" s="240"/>
      <c r="GXV41" s="239"/>
      <c r="GXW41" s="240"/>
      <c r="GXX41" s="239"/>
      <c r="GXY41" s="240"/>
      <c r="GXZ41" s="239"/>
      <c r="GYA41" s="240"/>
      <c r="GYB41" s="239"/>
      <c r="GYC41" s="240"/>
      <c r="GYD41" s="239"/>
      <c r="GYE41" s="240"/>
      <c r="GYF41" s="239"/>
      <c r="GYG41" s="240"/>
      <c r="GYH41" s="239"/>
      <c r="GYI41" s="240"/>
      <c r="GYJ41" s="239"/>
      <c r="GYK41" s="240"/>
      <c r="GYL41" s="239"/>
      <c r="GYM41" s="240"/>
      <c r="GYN41" s="239"/>
      <c r="GYO41" s="240"/>
      <c r="GYP41" s="239"/>
      <c r="GYQ41" s="240"/>
      <c r="GYR41" s="239"/>
      <c r="GYS41" s="240"/>
      <c r="GYT41" s="239"/>
      <c r="GYU41" s="240"/>
      <c r="GYV41" s="239"/>
      <c r="GYW41" s="240"/>
      <c r="GYX41" s="239"/>
      <c r="GYY41" s="240"/>
      <c r="GYZ41" s="239"/>
      <c r="GZA41" s="240"/>
      <c r="GZB41" s="239"/>
      <c r="GZC41" s="240"/>
      <c r="GZD41" s="239"/>
      <c r="GZE41" s="240"/>
      <c r="GZF41" s="239"/>
      <c r="GZG41" s="240"/>
      <c r="GZH41" s="239"/>
      <c r="GZI41" s="240"/>
      <c r="GZJ41" s="239"/>
      <c r="GZK41" s="240"/>
      <c r="GZL41" s="239"/>
      <c r="GZM41" s="240"/>
      <c r="GZN41" s="239"/>
      <c r="GZO41" s="240"/>
      <c r="GZP41" s="239"/>
      <c r="GZQ41" s="240"/>
      <c r="GZR41" s="239"/>
      <c r="GZS41" s="240"/>
      <c r="GZT41" s="239"/>
      <c r="GZU41" s="240"/>
      <c r="GZV41" s="239"/>
      <c r="GZW41" s="240"/>
      <c r="GZX41" s="239"/>
      <c r="GZY41" s="240"/>
      <c r="GZZ41" s="239"/>
      <c r="HAA41" s="240"/>
      <c r="HAB41" s="239"/>
      <c r="HAC41" s="240"/>
      <c r="HAD41" s="239"/>
      <c r="HAE41" s="240"/>
      <c r="HAF41" s="239"/>
      <c r="HAG41" s="240"/>
      <c r="HAH41" s="239"/>
      <c r="HAI41" s="240"/>
      <c r="HAJ41" s="239"/>
      <c r="HAK41" s="240"/>
      <c r="HAL41" s="239"/>
      <c r="HAM41" s="240"/>
      <c r="HAN41" s="239"/>
      <c r="HAO41" s="240"/>
      <c r="HAP41" s="239"/>
      <c r="HAQ41" s="240"/>
      <c r="HAR41" s="239"/>
      <c r="HAS41" s="240"/>
      <c r="HAT41" s="239"/>
      <c r="HAU41" s="240"/>
      <c r="HAV41" s="239"/>
      <c r="HAW41" s="240"/>
      <c r="HAX41" s="239"/>
      <c r="HAY41" s="240"/>
      <c r="HAZ41" s="239"/>
      <c r="HBA41" s="240"/>
      <c r="HBB41" s="239"/>
      <c r="HBC41" s="240"/>
      <c r="HBD41" s="239"/>
      <c r="HBE41" s="240"/>
      <c r="HBF41" s="239"/>
      <c r="HBG41" s="240"/>
      <c r="HBH41" s="239"/>
      <c r="HBI41" s="240"/>
      <c r="HBJ41" s="239"/>
      <c r="HBK41" s="240"/>
      <c r="HBL41" s="239"/>
      <c r="HBM41" s="240"/>
      <c r="HBN41" s="239"/>
      <c r="HBO41" s="240"/>
      <c r="HBP41" s="239"/>
      <c r="HBQ41" s="240"/>
      <c r="HBR41" s="239"/>
      <c r="HBS41" s="240"/>
      <c r="HBT41" s="239"/>
      <c r="HBU41" s="240"/>
      <c r="HBV41" s="239"/>
      <c r="HBW41" s="240"/>
      <c r="HBX41" s="239"/>
      <c r="HBY41" s="240"/>
      <c r="HBZ41" s="239"/>
      <c r="HCA41" s="240"/>
      <c r="HCB41" s="239"/>
      <c r="HCC41" s="240"/>
      <c r="HCD41" s="239"/>
      <c r="HCE41" s="240"/>
      <c r="HCF41" s="239"/>
      <c r="HCG41" s="240"/>
      <c r="HCH41" s="239"/>
      <c r="HCI41" s="240"/>
      <c r="HCJ41" s="239"/>
      <c r="HCK41" s="240"/>
      <c r="HCL41" s="239"/>
      <c r="HCM41" s="240"/>
      <c r="HCN41" s="239"/>
      <c r="HCO41" s="240"/>
      <c r="HCP41" s="239"/>
      <c r="HCQ41" s="240"/>
      <c r="HCR41" s="239"/>
      <c r="HCS41" s="240"/>
      <c r="HCT41" s="239"/>
      <c r="HCU41" s="240"/>
      <c r="HCV41" s="239"/>
      <c r="HCW41" s="240"/>
      <c r="HCX41" s="239"/>
      <c r="HCY41" s="240"/>
      <c r="HCZ41" s="239"/>
      <c r="HDA41" s="240"/>
      <c r="HDB41" s="239"/>
      <c r="HDC41" s="240"/>
      <c r="HDD41" s="239"/>
      <c r="HDE41" s="240"/>
      <c r="HDF41" s="239"/>
      <c r="HDG41" s="240"/>
      <c r="HDH41" s="239"/>
      <c r="HDI41" s="240"/>
      <c r="HDJ41" s="239"/>
      <c r="HDK41" s="240"/>
      <c r="HDL41" s="239"/>
      <c r="HDM41" s="240"/>
      <c r="HDN41" s="239"/>
      <c r="HDO41" s="240"/>
      <c r="HDP41" s="239"/>
      <c r="HDQ41" s="240"/>
      <c r="HDR41" s="239"/>
      <c r="HDS41" s="240"/>
      <c r="HDT41" s="239"/>
      <c r="HDU41" s="240"/>
      <c r="HDV41" s="239"/>
      <c r="HDW41" s="240"/>
      <c r="HDX41" s="239"/>
      <c r="HDY41" s="240"/>
      <c r="HDZ41" s="239"/>
      <c r="HEA41" s="240"/>
      <c r="HEB41" s="239"/>
      <c r="HEC41" s="240"/>
      <c r="HED41" s="239"/>
      <c r="HEE41" s="240"/>
      <c r="HEF41" s="239"/>
      <c r="HEG41" s="240"/>
      <c r="HEH41" s="239"/>
      <c r="HEI41" s="240"/>
      <c r="HEJ41" s="239"/>
      <c r="HEK41" s="240"/>
      <c r="HEL41" s="239"/>
      <c r="HEM41" s="240"/>
      <c r="HEN41" s="239"/>
      <c r="HEO41" s="240"/>
      <c r="HEP41" s="239"/>
      <c r="HEQ41" s="240"/>
      <c r="HER41" s="239"/>
      <c r="HES41" s="240"/>
      <c r="HET41" s="239"/>
      <c r="HEU41" s="240"/>
      <c r="HEV41" s="239"/>
      <c r="HEW41" s="240"/>
      <c r="HEX41" s="239"/>
      <c r="HEY41" s="240"/>
      <c r="HEZ41" s="239"/>
      <c r="HFA41" s="240"/>
      <c r="HFB41" s="239"/>
      <c r="HFC41" s="240"/>
      <c r="HFD41" s="239"/>
      <c r="HFE41" s="240"/>
      <c r="HFF41" s="239"/>
      <c r="HFG41" s="240"/>
      <c r="HFH41" s="239"/>
      <c r="HFI41" s="240"/>
      <c r="HFJ41" s="239"/>
      <c r="HFK41" s="240"/>
      <c r="HFL41" s="239"/>
      <c r="HFM41" s="240"/>
      <c r="HFN41" s="239"/>
      <c r="HFO41" s="240"/>
      <c r="HFP41" s="239"/>
      <c r="HFQ41" s="240"/>
      <c r="HFR41" s="239"/>
      <c r="HFS41" s="240"/>
      <c r="HFT41" s="239"/>
      <c r="HFU41" s="240"/>
      <c r="HFV41" s="239"/>
      <c r="HFW41" s="240"/>
      <c r="HFX41" s="239"/>
      <c r="HFY41" s="240"/>
      <c r="HFZ41" s="239"/>
      <c r="HGA41" s="240"/>
      <c r="HGB41" s="239"/>
      <c r="HGC41" s="240"/>
      <c r="HGD41" s="239"/>
      <c r="HGE41" s="240"/>
      <c r="HGF41" s="239"/>
      <c r="HGG41" s="240"/>
      <c r="HGH41" s="239"/>
      <c r="HGI41" s="240"/>
      <c r="HGJ41" s="239"/>
      <c r="HGK41" s="240"/>
      <c r="HGL41" s="239"/>
      <c r="HGM41" s="240"/>
      <c r="HGN41" s="239"/>
      <c r="HGO41" s="240"/>
      <c r="HGP41" s="239"/>
      <c r="HGQ41" s="240"/>
      <c r="HGR41" s="239"/>
      <c r="HGS41" s="240"/>
      <c r="HGT41" s="239"/>
      <c r="HGU41" s="240"/>
      <c r="HGV41" s="239"/>
      <c r="HGW41" s="240"/>
      <c r="HGX41" s="239"/>
      <c r="HGY41" s="240"/>
      <c r="HGZ41" s="239"/>
      <c r="HHA41" s="240"/>
      <c r="HHB41" s="239"/>
      <c r="HHC41" s="240"/>
      <c r="HHD41" s="239"/>
      <c r="HHE41" s="240"/>
      <c r="HHF41" s="239"/>
      <c r="HHG41" s="240"/>
      <c r="HHH41" s="239"/>
      <c r="HHI41" s="240"/>
      <c r="HHJ41" s="239"/>
      <c r="HHK41" s="240"/>
      <c r="HHL41" s="239"/>
      <c r="HHM41" s="240"/>
      <c r="HHN41" s="239"/>
      <c r="HHO41" s="240"/>
      <c r="HHP41" s="239"/>
      <c r="HHQ41" s="240"/>
      <c r="HHR41" s="239"/>
      <c r="HHS41" s="240"/>
      <c r="HHT41" s="239"/>
      <c r="HHU41" s="240"/>
      <c r="HHV41" s="239"/>
      <c r="HHW41" s="240"/>
      <c r="HHX41" s="239"/>
      <c r="HHY41" s="240"/>
      <c r="HHZ41" s="239"/>
      <c r="HIA41" s="240"/>
      <c r="HIB41" s="239"/>
      <c r="HIC41" s="240"/>
      <c r="HID41" s="239"/>
      <c r="HIE41" s="240"/>
      <c r="HIF41" s="239"/>
      <c r="HIG41" s="240"/>
      <c r="HIH41" s="239"/>
      <c r="HII41" s="240"/>
      <c r="HIJ41" s="239"/>
      <c r="HIK41" s="240"/>
      <c r="HIL41" s="239"/>
      <c r="HIM41" s="240"/>
      <c r="HIN41" s="239"/>
      <c r="HIO41" s="240"/>
      <c r="HIP41" s="239"/>
      <c r="HIQ41" s="240"/>
      <c r="HIR41" s="239"/>
      <c r="HIS41" s="240"/>
      <c r="HIT41" s="239"/>
      <c r="HIU41" s="240"/>
      <c r="HIV41" s="239"/>
      <c r="HIW41" s="240"/>
      <c r="HIX41" s="239"/>
      <c r="HIY41" s="240"/>
      <c r="HIZ41" s="239"/>
      <c r="HJA41" s="240"/>
      <c r="HJB41" s="239"/>
      <c r="HJC41" s="240"/>
      <c r="HJD41" s="239"/>
      <c r="HJE41" s="240"/>
      <c r="HJF41" s="239"/>
      <c r="HJG41" s="240"/>
      <c r="HJH41" s="239"/>
      <c r="HJI41" s="240"/>
      <c r="HJJ41" s="239"/>
      <c r="HJK41" s="240"/>
      <c r="HJL41" s="239"/>
      <c r="HJM41" s="240"/>
      <c r="HJN41" s="239"/>
      <c r="HJO41" s="240"/>
      <c r="HJP41" s="239"/>
      <c r="HJQ41" s="240"/>
      <c r="HJR41" s="239"/>
      <c r="HJS41" s="240"/>
      <c r="HJT41" s="239"/>
      <c r="HJU41" s="240"/>
      <c r="HJV41" s="239"/>
      <c r="HJW41" s="240"/>
      <c r="HJX41" s="239"/>
      <c r="HJY41" s="240"/>
      <c r="HJZ41" s="239"/>
      <c r="HKA41" s="240"/>
      <c r="HKB41" s="239"/>
      <c r="HKC41" s="240"/>
      <c r="HKD41" s="239"/>
      <c r="HKE41" s="240"/>
      <c r="HKF41" s="239"/>
      <c r="HKG41" s="240"/>
      <c r="HKH41" s="239"/>
      <c r="HKI41" s="240"/>
      <c r="HKJ41" s="239"/>
      <c r="HKK41" s="240"/>
      <c r="HKL41" s="239"/>
      <c r="HKM41" s="240"/>
      <c r="HKN41" s="239"/>
      <c r="HKO41" s="240"/>
      <c r="HKP41" s="239"/>
      <c r="HKQ41" s="240"/>
      <c r="HKR41" s="239"/>
      <c r="HKS41" s="240"/>
      <c r="HKT41" s="239"/>
      <c r="HKU41" s="240"/>
      <c r="HKV41" s="239"/>
      <c r="HKW41" s="240"/>
      <c r="HKX41" s="239"/>
      <c r="HKY41" s="240"/>
      <c r="HKZ41" s="239"/>
      <c r="HLA41" s="240"/>
      <c r="HLB41" s="239"/>
      <c r="HLC41" s="240"/>
      <c r="HLD41" s="239"/>
      <c r="HLE41" s="240"/>
      <c r="HLF41" s="239"/>
      <c r="HLG41" s="240"/>
      <c r="HLH41" s="239"/>
      <c r="HLI41" s="240"/>
      <c r="HLJ41" s="239"/>
      <c r="HLK41" s="240"/>
      <c r="HLL41" s="239"/>
      <c r="HLM41" s="240"/>
      <c r="HLN41" s="239"/>
      <c r="HLO41" s="240"/>
      <c r="HLP41" s="239"/>
      <c r="HLQ41" s="240"/>
      <c r="HLR41" s="239"/>
      <c r="HLS41" s="240"/>
      <c r="HLT41" s="239"/>
      <c r="HLU41" s="240"/>
      <c r="HLV41" s="239"/>
      <c r="HLW41" s="240"/>
      <c r="HLX41" s="239"/>
      <c r="HLY41" s="240"/>
      <c r="HLZ41" s="239"/>
      <c r="HMA41" s="240"/>
      <c r="HMB41" s="239"/>
      <c r="HMC41" s="240"/>
      <c r="HMD41" s="239"/>
      <c r="HME41" s="240"/>
      <c r="HMF41" s="239"/>
      <c r="HMG41" s="240"/>
      <c r="HMH41" s="239"/>
      <c r="HMI41" s="240"/>
      <c r="HMJ41" s="239"/>
      <c r="HMK41" s="240"/>
      <c r="HML41" s="239"/>
      <c r="HMM41" s="240"/>
      <c r="HMN41" s="239"/>
      <c r="HMO41" s="240"/>
      <c r="HMP41" s="239"/>
      <c r="HMQ41" s="240"/>
      <c r="HMR41" s="239"/>
      <c r="HMS41" s="240"/>
      <c r="HMT41" s="239"/>
      <c r="HMU41" s="240"/>
      <c r="HMV41" s="239"/>
      <c r="HMW41" s="240"/>
      <c r="HMX41" s="239"/>
      <c r="HMY41" s="240"/>
      <c r="HMZ41" s="239"/>
      <c r="HNA41" s="240"/>
      <c r="HNB41" s="239"/>
      <c r="HNC41" s="240"/>
      <c r="HND41" s="239"/>
      <c r="HNE41" s="240"/>
      <c r="HNF41" s="239"/>
      <c r="HNG41" s="240"/>
      <c r="HNH41" s="239"/>
      <c r="HNI41" s="240"/>
      <c r="HNJ41" s="239"/>
      <c r="HNK41" s="240"/>
      <c r="HNL41" s="239"/>
      <c r="HNM41" s="240"/>
      <c r="HNN41" s="239"/>
      <c r="HNO41" s="240"/>
      <c r="HNP41" s="239"/>
      <c r="HNQ41" s="240"/>
      <c r="HNR41" s="239"/>
      <c r="HNS41" s="240"/>
      <c r="HNT41" s="239"/>
      <c r="HNU41" s="240"/>
      <c r="HNV41" s="239"/>
      <c r="HNW41" s="240"/>
      <c r="HNX41" s="239"/>
      <c r="HNY41" s="240"/>
      <c r="HNZ41" s="239"/>
      <c r="HOA41" s="240"/>
      <c r="HOB41" s="239"/>
      <c r="HOC41" s="240"/>
      <c r="HOD41" s="239"/>
      <c r="HOE41" s="240"/>
      <c r="HOF41" s="239"/>
      <c r="HOG41" s="240"/>
      <c r="HOH41" s="239"/>
      <c r="HOI41" s="240"/>
      <c r="HOJ41" s="239"/>
      <c r="HOK41" s="240"/>
      <c r="HOL41" s="239"/>
      <c r="HOM41" s="240"/>
      <c r="HON41" s="239"/>
      <c r="HOO41" s="240"/>
      <c r="HOP41" s="239"/>
      <c r="HOQ41" s="240"/>
      <c r="HOR41" s="239"/>
      <c r="HOS41" s="240"/>
      <c r="HOT41" s="239"/>
      <c r="HOU41" s="240"/>
      <c r="HOV41" s="239"/>
      <c r="HOW41" s="240"/>
      <c r="HOX41" s="239"/>
      <c r="HOY41" s="240"/>
      <c r="HOZ41" s="239"/>
      <c r="HPA41" s="240"/>
      <c r="HPB41" s="239"/>
      <c r="HPC41" s="240"/>
      <c r="HPD41" s="239"/>
      <c r="HPE41" s="240"/>
      <c r="HPF41" s="239"/>
      <c r="HPG41" s="240"/>
      <c r="HPH41" s="239"/>
      <c r="HPI41" s="240"/>
      <c r="HPJ41" s="239"/>
      <c r="HPK41" s="240"/>
      <c r="HPL41" s="239"/>
      <c r="HPM41" s="240"/>
      <c r="HPN41" s="239"/>
      <c r="HPO41" s="240"/>
      <c r="HPP41" s="239"/>
      <c r="HPQ41" s="240"/>
      <c r="HPR41" s="239"/>
      <c r="HPS41" s="240"/>
      <c r="HPT41" s="239"/>
      <c r="HPU41" s="240"/>
      <c r="HPV41" s="239"/>
      <c r="HPW41" s="240"/>
      <c r="HPX41" s="239"/>
      <c r="HPY41" s="240"/>
      <c r="HPZ41" s="239"/>
      <c r="HQA41" s="240"/>
      <c r="HQB41" s="239"/>
      <c r="HQC41" s="240"/>
      <c r="HQD41" s="239"/>
      <c r="HQE41" s="240"/>
      <c r="HQF41" s="239"/>
      <c r="HQG41" s="240"/>
      <c r="HQH41" s="239"/>
      <c r="HQI41" s="240"/>
      <c r="HQJ41" s="239"/>
      <c r="HQK41" s="240"/>
      <c r="HQL41" s="239"/>
      <c r="HQM41" s="240"/>
      <c r="HQN41" s="239"/>
      <c r="HQO41" s="240"/>
      <c r="HQP41" s="239"/>
      <c r="HQQ41" s="240"/>
      <c r="HQR41" s="239"/>
      <c r="HQS41" s="240"/>
      <c r="HQT41" s="239"/>
      <c r="HQU41" s="240"/>
      <c r="HQV41" s="239"/>
      <c r="HQW41" s="240"/>
      <c r="HQX41" s="239"/>
      <c r="HQY41" s="240"/>
      <c r="HQZ41" s="239"/>
      <c r="HRA41" s="240"/>
      <c r="HRB41" s="239"/>
      <c r="HRC41" s="240"/>
      <c r="HRD41" s="239"/>
      <c r="HRE41" s="240"/>
      <c r="HRF41" s="239"/>
      <c r="HRG41" s="240"/>
      <c r="HRH41" s="239"/>
      <c r="HRI41" s="240"/>
      <c r="HRJ41" s="239"/>
      <c r="HRK41" s="240"/>
      <c r="HRL41" s="239"/>
      <c r="HRM41" s="240"/>
      <c r="HRN41" s="239"/>
      <c r="HRO41" s="240"/>
      <c r="HRP41" s="239"/>
      <c r="HRQ41" s="240"/>
      <c r="HRR41" s="239"/>
      <c r="HRS41" s="240"/>
      <c r="HRT41" s="239"/>
      <c r="HRU41" s="240"/>
      <c r="HRV41" s="239"/>
      <c r="HRW41" s="240"/>
      <c r="HRX41" s="239"/>
      <c r="HRY41" s="240"/>
      <c r="HRZ41" s="239"/>
      <c r="HSA41" s="240"/>
      <c r="HSB41" s="239"/>
      <c r="HSC41" s="240"/>
      <c r="HSD41" s="239"/>
      <c r="HSE41" s="240"/>
      <c r="HSF41" s="239"/>
      <c r="HSG41" s="240"/>
      <c r="HSH41" s="239"/>
      <c r="HSI41" s="240"/>
      <c r="HSJ41" s="239"/>
      <c r="HSK41" s="240"/>
      <c r="HSL41" s="239"/>
      <c r="HSM41" s="240"/>
      <c r="HSN41" s="239"/>
      <c r="HSO41" s="240"/>
      <c r="HSP41" s="239"/>
      <c r="HSQ41" s="240"/>
      <c r="HSR41" s="239"/>
      <c r="HSS41" s="240"/>
      <c r="HST41" s="239"/>
      <c r="HSU41" s="240"/>
      <c r="HSV41" s="239"/>
      <c r="HSW41" s="240"/>
      <c r="HSX41" s="239"/>
      <c r="HSY41" s="240"/>
      <c r="HSZ41" s="239"/>
      <c r="HTA41" s="240"/>
      <c r="HTB41" s="239"/>
      <c r="HTC41" s="240"/>
      <c r="HTD41" s="239"/>
      <c r="HTE41" s="240"/>
      <c r="HTF41" s="239"/>
      <c r="HTG41" s="240"/>
      <c r="HTH41" s="239"/>
      <c r="HTI41" s="240"/>
      <c r="HTJ41" s="239"/>
      <c r="HTK41" s="240"/>
      <c r="HTL41" s="239"/>
      <c r="HTM41" s="240"/>
      <c r="HTN41" s="239"/>
      <c r="HTO41" s="240"/>
      <c r="HTP41" s="239"/>
      <c r="HTQ41" s="240"/>
      <c r="HTR41" s="239"/>
      <c r="HTS41" s="240"/>
      <c r="HTT41" s="239"/>
      <c r="HTU41" s="240"/>
      <c r="HTV41" s="239"/>
      <c r="HTW41" s="240"/>
      <c r="HTX41" s="239"/>
      <c r="HTY41" s="240"/>
      <c r="HTZ41" s="239"/>
      <c r="HUA41" s="240"/>
      <c r="HUB41" s="239"/>
      <c r="HUC41" s="240"/>
      <c r="HUD41" s="239"/>
      <c r="HUE41" s="240"/>
      <c r="HUF41" s="239"/>
      <c r="HUG41" s="240"/>
      <c r="HUH41" s="239"/>
      <c r="HUI41" s="240"/>
      <c r="HUJ41" s="239"/>
      <c r="HUK41" s="240"/>
      <c r="HUL41" s="239"/>
      <c r="HUM41" s="240"/>
      <c r="HUN41" s="239"/>
      <c r="HUO41" s="240"/>
      <c r="HUP41" s="239"/>
      <c r="HUQ41" s="240"/>
      <c r="HUR41" s="239"/>
      <c r="HUS41" s="240"/>
      <c r="HUT41" s="239"/>
      <c r="HUU41" s="240"/>
      <c r="HUV41" s="239"/>
      <c r="HUW41" s="240"/>
      <c r="HUX41" s="239"/>
      <c r="HUY41" s="240"/>
      <c r="HUZ41" s="239"/>
      <c r="HVA41" s="240"/>
      <c r="HVB41" s="239"/>
      <c r="HVC41" s="240"/>
      <c r="HVD41" s="239"/>
      <c r="HVE41" s="240"/>
      <c r="HVF41" s="239"/>
      <c r="HVG41" s="240"/>
      <c r="HVH41" s="239"/>
      <c r="HVI41" s="240"/>
      <c r="HVJ41" s="239"/>
      <c r="HVK41" s="240"/>
      <c r="HVL41" s="239"/>
      <c r="HVM41" s="240"/>
      <c r="HVN41" s="239"/>
      <c r="HVO41" s="240"/>
      <c r="HVP41" s="239"/>
      <c r="HVQ41" s="240"/>
      <c r="HVR41" s="239"/>
      <c r="HVS41" s="240"/>
      <c r="HVT41" s="239"/>
      <c r="HVU41" s="240"/>
      <c r="HVV41" s="239"/>
      <c r="HVW41" s="240"/>
      <c r="HVX41" s="239"/>
      <c r="HVY41" s="240"/>
      <c r="HVZ41" s="239"/>
      <c r="HWA41" s="240"/>
      <c r="HWB41" s="239"/>
      <c r="HWC41" s="240"/>
      <c r="HWD41" s="239"/>
      <c r="HWE41" s="240"/>
      <c r="HWF41" s="239"/>
      <c r="HWG41" s="240"/>
      <c r="HWH41" s="239"/>
      <c r="HWI41" s="240"/>
      <c r="HWJ41" s="239"/>
      <c r="HWK41" s="240"/>
      <c r="HWL41" s="239"/>
      <c r="HWM41" s="240"/>
      <c r="HWN41" s="239"/>
      <c r="HWO41" s="240"/>
      <c r="HWP41" s="239"/>
      <c r="HWQ41" s="240"/>
      <c r="HWR41" s="239"/>
      <c r="HWS41" s="240"/>
      <c r="HWT41" s="239"/>
      <c r="HWU41" s="240"/>
      <c r="HWV41" s="239"/>
      <c r="HWW41" s="240"/>
      <c r="HWX41" s="239"/>
      <c r="HWY41" s="240"/>
      <c r="HWZ41" s="239"/>
      <c r="HXA41" s="240"/>
      <c r="HXB41" s="239"/>
      <c r="HXC41" s="240"/>
      <c r="HXD41" s="239"/>
      <c r="HXE41" s="240"/>
      <c r="HXF41" s="239"/>
      <c r="HXG41" s="240"/>
      <c r="HXH41" s="239"/>
      <c r="HXI41" s="240"/>
      <c r="HXJ41" s="239"/>
      <c r="HXK41" s="240"/>
      <c r="HXL41" s="239"/>
      <c r="HXM41" s="240"/>
      <c r="HXN41" s="239"/>
      <c r="HXO41" s="240"/>
      <c r="HXP41" s="239"/>
      <c r="HXQ41" s="240"/>
      <c r="HXR41" s="239"/>
      <c r="HXS41" s="240"/>
      <c r="HXT41" s="239"/>
      <c r="HXU41" s="240"/>
      <c r="HXV41" s="239"/>
      <c r="HXW41" s="240"/>
      <c r="HXX41" s="239"/>
      <c r="HXY41" s="240"/>
      <c r="HXZ41" s="239"/>
      <c r="HYA41" s="240"/>
      <c r="HYB41" s="239"/>
      <c r="HYC41" s="240"/>
      <c r="HYD41" s="239"/>
      <c r="HYE41" s="240"/>
      <c r="HYF41" s="239"/>
      <c r="HYG41" s="240"/>
      <c r="HYH41" s="239"/>
      <c r="HYI41" s="240"/>
      <c r="HYJ41" s="239"/>
      <c r="HYK41" s="240"/>
      <c r="HYL41" s="239"/>
      <c r="HYM41" s="240"/>
      <c r="HYN41" s="239"/>
      <c r="HYO41" s="240"/>
      <c r="HYP41" s="239"/>
      <c r="HYQ41" s="240"/>
      <c r="HYR41" s="239"/>
      <c r="HYS41" s="240"/>
      <c r="HYT41" s="239"/>
      <c r="HYU41" s="240"/>
      <c r="HYV41" s="239"/>
      <c r="HYW41" s="240"/>
      <c r="HYX41" s="239"/>
      <c r="HYY41" s="240"/>
      <c r="HYZ41" s="239"/>
      <c r="HZA41" s="240"/>
      <c r="HZB41" s="239"/>
      <c r="HZC41" s="240"/>
      <c r="HZD41" s="239"/>
      <c r="HZE41" s="240"/>
      <c r="HZF41" s="239"/>
      <c r="HZG41" s="240"/>
      <c r="HZH41" s="239"/>
      <c r="HZI41" s="240"/>
      <c r="HZJ41" s="239"/>
      <c r="HZK41" s="240"/>
      <c r="HZL41" s="239"/>
      <c r="HZM41" s="240"/>
      <c r="HZN41" s="239"/>
      <c r="HZO41" s="240"/>
      <c r="HZP41" s="239"/>
      <c r="HZQ41" s="240"/>
      <c r="HZR41" s="239"/>
      <c r="HZS41" s="240"/>
      <c r="HZT41" s="239"/>
      <c r="HZU41" s="240"/>
      <c r="HZV41" s="239"/>
      <c r="HZW41" s="240"/>
      <c r="HZX41" s="239"/>
      <c r="HZY41" s="240"/>
      <c r="HZZ41" s="239"/>
      <c r="IAA41" s="240"/>
      <c r="IAB41" s="239"/>
      <c r="IAC41" s="240"/>
      <c r="IAD41" s="239"/>
      <c r="IAE41" s="240"/>
      <c r="IAF41" s="239"/>
      <c r="IAG41" s="240"/>
      <c r="IAH41" s="239"/>
      <c r="IAI41" s="240"/>
      <c r="IAJ41" s="239"/>
      <c r="IAK41" s="240"/>
      <c r="IAL41" s="239"/>
      <c r="IAM41" s="240"/>
      <c r="IAN41" s="239"/>
      <c r="IAO41" s="240"/>
      <c r="IAP41" s="239"/>
      <c r="IAQ41" s="240"/>
      <c r="IAR41" s="239"/>
      <c r="IAS41" s="240"/>
      <c r="IAT41" s="239"/>
      <c r="IAU41" s="240"/>
      <c r="IAV41" s="239"/>
      <c r="IAW41" s="240"/>
      <c r="IAX41" s="239"/>
      <c r="IAY41" s="240"/>
      <c r="IAZ41" s="239"/>
      <c r="IBA41" s="240"/>
      <c r="IBB41" s="239"/>
      <c r="IBC41" s="240"/>
      <c r="IBD41" s="239"/>
      <c r="IBE41" s="240"/>
      <c r="IBF41" s="239"/>
      <c r="IBG41" s="240"/>
      <c r="IBH41" s="239"/>
      <c r="IBI41" s="240"/>
      <c r="IBJ41" s="239"/>
      <c r="IBK41" s="240"/>
      <c r="IBL41" s="239"/>
      <c r="IBM41" s="240"/>
      <c r="IBN41" s="239"/>
      <c r="IBO41" s="240"/>
      <c r="IBP41" s="239"/>
      <c r="IBQ41" s="240"/>
      <c r="IBR41" s="239"/>
      <c r="IBS41" s="240"/>
      <c r="IBT41" s="239"/>
      <c r="IBU41" s="240"/>
      <c r="IBV41" s="239"/>
      <c r="IBW41" s="240"/>
      <c r="IBX41" s="239"/>
      <c r="IBY41" s="240"/>
      <c r="IBZ41" s="239"/>
      <c r="ICA41" s="240"/>
      <c r="ICB41" s="239"/>
      <c r="ICC41" s="240"/>
      <c r="ICD41" s="239"/>
      <c r="ICE41" s="240"/>
      <c r="ICF41" s="239"/>
      <c r="ICG41" s="240"/>
      <c r="ICH41" s="239"/>
      <c r="ICI41" s="240"/>
      <c r="ICJ41" s="239"/>
      <c r="ICK41" s="240"/>
      <c r="ICL41" s="239"/>
      <c r="ICM41" s="240"/>
      <c r="ICN41" s="239"/>
      <c r="ICO41" s="240"/>
      <c r="ICP41" s="239"/>
      <c r="ICQ41" s="240"/>
      <c r="ICR41" s="239"/>
      <c r="ICS41" s="240"/>
      <c r="ICT41" s="239"/>
      <c r="ICU41" s="240"/>
      <c r="ICV41" s="239"/>
      <c r="ICW41" s="240"/>
      <c r="ICX41" s="239"/>
      <c r="ICY41" s="240"/>
      <c r="ICZ41" s="239"/>
      <c r="IDA41" s="240"/>
      <c r="IDB41" s="239"/>
      <c r="IDC41" s="240"/>
      <c r="IDD41" s="239"/>
      <c r="IDE41" s="240"/>
      <c r="IDF41" s="239"/>
      <c r="IDG41" s="240"/>
      <c r="IDH41" s="239"/>
      <c r="IDI41" s="240"/>
      <c r="IDJ41" s="239"/>
      <c r="IDK41" s="240"/>
      <c r="IDL41" s="239"/>
      <c r="IDM41" s="240"/>
      <c r="IDN41" s="239"/>
      <c r="IDO41" s="240"/>
      <c r="IDP41" s="239"/>
      <c r="IDQ41" s="240"/>
      <c r="IDR41" s="239"/>
      <c r="IDS41" s="240"/>
      <c r="IDT41" s="239"/>
      <c r="IDU41" s="240"/>
      <c r="IDV41" s="239"/>
      <c r="IDW41" s="240"/>
      <c r="IDX41" s="239"/>
      <c r="IDY41" s="240"/>
      <c r="IDZ41" s="239"/>
      <c r="IEA41" s="240"/>
      <c r="IEB41" s="239"/>
      <c r="IEC41" s="240"/>
      <c r="IED41" s="239"/>
      <c r="IEE41" s="240"/>
      <c r="IEF41" s="239"/>
      <c r="IEG41" s="240"/>
      <c r="IEH41" s="239"/>
      <c r="IEI41" s="240"/>
      <c r="IEJ41" s="239"/>
      <c r="IEK41" s="240"/>
      <c r="IEL41" s="239"/>
      <c r="IEM41" s="240"/>
      <c r="IEN41" s="239"/>
      <c r="IEO41" s="240"/>
      <c r="IEP41" s="239"/>
      <c r="IEQ41" s="240"/>
      <c r="IER41" s="239"/>
      <c r="IES41" s="240"/>
      <c r="IET41" s="239"/>
      <c r="IEU41" s="240"/>
      <c r="IEV41" s="239"/>
      <c r="IEW41" s="240"/>
      <c r="IEX41" s="239"/>
      <c r="IEY41" s="240"/>
      <c r="IEZ41" s="239"/>
      <c r="IFA41" s="240"/>
      <c r="IFB41" s="239"/>
      <c r="IFC41" s="240"/>
      <c r="IFD41" s="239"/>
      <c r="IFE41" s="240"/>
      <c r="IFF41" s="239"/>
      <c r="IFG41" s="240"/>
      <c r="IFH41" s="239"/>
      <c r="IFI41" s="240"/>
      <c r="IFJ41" s="239"/>
      <c r="IFK41" s="240"/>
      <c r="IFL41" s="239"/>
      <c r="IFM41" s="240"/>
      <c r="IFN41" s="239"/>
      <c r="IFO41" s="240"/>
      <c r="IFP41" s="239"/>
      <c r="IFQ41" s="240"/>
      <c r="IFR41" s="239"/>
      <c r="IFS41" s="240"/>
      <c r="IFT41" s="239"/>
      <c r="IFU41" s="240"/>
      <c r="IFV41" s="239"/>
      <c r="IFW41" s="240"/>
      <c r="IFX41" s="239"/>
      <c r="IFY41" s="240"/>
      <c r="IFZ41" s="239"/>
      <c r="IGA41" s="240"/>
      <c r="IGB41" s="239"/>
      <c r="IGC41" s="240"/>
      <c r="IGD41" s="239"/>
      <c r="IGE41" s="240"/>
      <c r="IGF41" s="239"/>
      <c r="IGG41" s="240"/>
      <c r="IGH41" s="239"/>
      <c r="IGI41" s="240"/>
      <c r="IGJ41" s="239"/>
      <c r="IGK41" s="240"/>
      <c r="IGL41" s="239"/>
      <c r="IGM41" s="240"/>
      <c r="IGN41" s="239"/>
      <c r="IGO41" s="240"/>
      <c r="IGP41" s="239"/>
      <c r="IGQ41" s="240"/>
      <c r="IGR41" s="239"/>
      <c r="IGS41" s="240"/>
      <c r="IGT41" s="239"/>
      <c r="IGU41" s="240"/>
      <c r="IGV41" s="239"/>
      <c r="IGW41" s="240"/>
      <c r="IGX41" s="239"/>
      <c r="IGY41" s="240"/>
      <c r="IGZ41" s="239"/>
      <c r="IHA41" s="240"/>
      <c r="IHB41" s="239"/>
      <c r="IHC41" s="240"/>
      <c r="IHD41" s="239"/>
      <c r="IHE41" s="240"/>
      <c r="IHF41" s="239"/>
      <c r="IHG41" s="240"/>
      <c r="IHH41" s="239"/>
      <c r="IHI41" s="240"/>
      <c r="IHJ41" s="239"/>
      <c r="IHK41" s="240"/>
      <c r="IHL41" s="239"/>
      <c r="IHM41" s="240"/>
      <c r="IHN41" s="239"/>
      <c r="IHO41" s="240"/>
      <c r="IHP41" s="239"/>
      <c r="IHQ41" s="240"/>
      <c r="IHR41" s="239"/>
      <c r="IHS41" s="240"/>
      <c r="IHT41" s="239"/>
      <c r="IHU41" s="240"/>
      <c r="IHV41" s="239"/>
      <c r="IHW41" s="240"/>
      <c r="IHX41" s="239"/>
      <c r="IHY41" s="240"/>
      <c r="IHZ41" s="239"/>
      <c r="IIA41" s="240"/>
      <c r="IIB41" s="239"/>
      <c r="IIC41" s="240"/>
      <c r="IID41" s="239"/>
      <c r="IIE41" s="240"/>
      <c r="IIF41" s="239"/>
      <c r="IIG41" s="240"/>
      <c r="IIH41" s="239"/>
      <c r="III41" s="240"/>
      <c r="IIJ41" s="239"/>
      <c r="IIK41" s="240"/>
      <c r="IIL41" s="239"/>
      <c r="IIM41" s="240"/>
      <c r="IIN41" s="239"/>
      <c r="IIO41" s="240"/>
      <c r="IIP41" s="239"/>
      <c r="IIQ41" s="240"/>
      <c r="IIR41" s="239"/>
      <c r="IIS41" s="240"/>
      <c r="IIT41" s="239"/>
      <c r="IIU41" s="240"/>
      <c r="IIV41" s="239"/>
      <c r="IIW41" s="240"/>
      <c r="IIX41" s="239"/>
      <c r="IIY41" s="240"/>
      <c r="IIZ41" s="239"/>
      <c r="IJA41" s="240"/>
      <c r="IJB41" s="239"/>
      <c r="IJC41" s="240"/>
      <c r="IJD41" s="239"/>
      <c r="IJE41" s="240"/>
      <c r="IJF41" s="239"/>
      <c r="IJG41" s="240"/>
      <c r="IJH41" s="239"/>
      <c r="IJI41" s="240"/>
      <c r="IJJ41" s="239"/>
      <c r="IJK41" s="240"/>
      <c r="IJL41" s="239"/>
      <c r="IJM41" s="240"/>
      <c r="IJN41" s="239"/>
      <c r="IJO41" s="240"/>
      <c r="IJP41" s="239"/>
      <c r="IJQ41" s="240"/>
      <c r="IJR41" s="239"/>
      <c r="IJS41" s="240"/>
      <c r="IJT41" s="239"/>
      <c r="IJU41" s="240"/>
      <c r="IJV41" s="239"/>
      <c r="IJW41" s="240"/>
      <c r="IJX41" s="239"/>
      <c r="IJY41" s="240"/>
      <c r="IJZ41" s="239"/>
      <c r="IKA41" s="240"/>
      <c r="IKB41" s="239"/>
      <c r="IKC41" s="240"/>
      <c r="IKD41" s="239"/>
      <c r="IKE41" s="240"/>
      <c r="IKF41" s="239"/>
      <c r="IKG41" s="240"/>
      <c r="IKH41" s="239"/>
      <c r="IKI41" s="240"/>
      <c r="IKJ41" s="239"/>
      <c r="IKK41" s="240"/>
      <c r="IKL41" s="239"/>
      <c r="IKM41" s="240"/>
      <c r="IKN41" s="239"/>
      <c r="IKO41" s="240"/>
      <c r="IKP41" s="239"/>
      <c r="IKQ41" s="240"/>
      <c r="IKR41" s="239"/>
      <c r="IKS41" s="240"/>
      <c r="IKT41" s="239"/>
      <c r="IKU41" s="240"/>
      <c r="IKV41" s="239"/>
      <c r="IKW41" s="240"/>
      <c r="IKX41" s="239"/>
      <c r="IKY41" s="240"/>
      <c r="IKZ41" s="239"/>
      <c r="ILA41" s="240"/>
      <c r="ILB41" s="239"/>
      <c r="ILC41" s="240"/>
      <c r="ILD41" s="239"/>
      <c r="ILE41" s="240"/>
      <c r="ILF41" s="239"/>
      <c r="ILG41" s="240"/>
      <c r="ILH41" s="239"/>
      <c r="ILI41" s="240"/>
      <c r="ILJ41" s="239"/>
      <c r="ILK41" s="240"/>
      <c r="ILL41" s="239"/>
      <c r="ILM41" s="240"/>
      <c r="ILN41" s="239"/>
      <c r="ILO41" s="240"/>
      <c r="ILP41" s="239"/>
      <c r="ILQ41" s="240"/>
      <c r="ILR41" s="239"/>
      <c r="ILS41" s="240"/>
      <c r="ILT41" s="239"/>
      <c r="ILU41" s="240"/>
      <c r="ILV41" s="239"/>
      <c r="ILW41" s="240"/>
      <c r="ILX41" s="239"/>
      <c r="ILY41" s="240"/>
      <c r="ILZ41" s="239"/>
      <c r="IMA41" s="240"/>
      <c r="IMB41" s="239"/>
      <c r="IMC41" s="240"/>
      <c r="IMD41" s="239"/>
      <c r="IME41" s="240"/>
      <c r="IMF41" s="239"/>
      <c r="IMG41" s="240"/>
      <c r="IMH41" s="239"/>
      <c r="IMI41" s="240"/>
      <c r="IMJ41" s="239"/>
      <c r="IMK41" s="240"/>
      <c r="IML41" s="239"/>
      <c r="IMM41" s="240"/>
      <c r="IMN41" s="239"/>
      <c r="IMO41" s="240"/>
      <c r="IMP41" s="239"/>
      <c r="IMQ41" s="240"/>
      <c r="IMR41" s="239"/>
      <c r="IMS41" s="240"/>
      <c r="IMT41" s="239"/>
      <c r="IMU41" s="240"/>
      <c r="IMV41" s="239"/>
      <c r="IMW41" s="240"/>
      <c r="IMX41" s="239"/>
      <c r="IMY41" s="240"/>
      <c r="IMZ41" s="239"/>
      <c r="INA41" s="240"/>
      <c r="INB41" s="239"/>
      <c r="INC41" s="240"/>
      <c r="IND41" s="239"/>
      <c r="INE41" s="240"/>
      <c r="INF41" s="239"/>
      <c r="ING41" s="240"/>
      <c r="INH41" s="239"/>
      <c r="INI41" s="240"/>
      <c r="INJ41" s="239"/>
      <c r="INK41" s="240"/>
      <c r="INL41" s="239"/>
      <c r="INM41" s="240"/>
      <c r="INN41" s="239"/>
      <c r="INO41" s="240"/>
      <c r="INP41" s="239"/>
      <c r="INQ41" s="240"/>
      <c r="INR41" s="239"/>
      <c r="INS41" s="240"/>
      <c r="INT41" s="239"/>
      <c r="INU41" s="240"/>
      <c r="INV41" s="239"/>
      <c r="INW41" s="240"/>
      <c r="INX41" s="239"/>
      <c r="INY41" s="240"/>
      <c r="INZ41" s="239"/>
      <c r="IOA41" s="240"/>
      <c r="IOB41" s="239"/>
      <c r="IOC41" s="240"/>
      <c r="IOD41" s="239"/>
      <c r="IOE41" s="240"/>
      <c r="IOF41" s="239"/>
      <c r="IOG41" s="240"/>
      <c r="IOH41" s="239"/>
      <c r="IOI41" s="240"/>
      <c r="IOJ41" s="239"/>
      <c r="IOK41" s="240"/>
      <c r="IOL41" s="239"/>
      <c r="IOM41" s="240"/>
      <c r="ION41" s="239"/>
      <c r="IOO41" s="240"/>
      <c r="IOP41" s="239"/>
      <c r="IOQ41" s="240"/>
      <c r="IOR41" s="239"/>
      <c r="IOS41" s="240"/>
      <c r="IOT41" s="239"/>
      <c r="IOU41" s="240"/>
      <c r="IOV41" s="239"/>
      <c r="IOW41" s="240"/>
      <c r="IOX41" s="239"/>
      <c r="IOY41" s="240"/>
      <c r="IOZ41" s="239"/>
      <c r="IPA41" s="240"/>
      <c r="IPB41" s="239"/>
      <c r="IPC41" s="240"/>
      <c r="IPD41" s="239"/>
      <c r="IPE41" s="240"/>
      <c r="IPF41" s="239"/>
      <c r="IPG41" s="240"/>
      <c r="IPH41" s="239"/>
      <c r="IPI41" s="240"/>
      <c r="IPJ41" s="239"/>
      <c r="IPK41" s="240"/>
      <c r="IPL41" s="239"/>
      <c r="IPM41" s="240"/>
      <c r="IPN41" s="239"/>
      <c r="IPO41" s="240"/>
      <c r="IPP41" s="239"/>
      <c r="IPQ41" s="240"/>
      <c r="IPR41" s="239"/>
      <c r="IPS41" s="240"/>
      <c r="IPT41" s="239"/>
      <c r="IPU41" s="240"/>
      <c r="IPV41" s="239"/>
      <c r="IPW41" s="240"/>
      <c r="IPX41" s="239"/>
      <c r="IPY41" s="240"/>
      <c r="IPZ41" s="239"/>
      <c r="IQA41" s="240"/>
      <c r="IQB41" s="239"/>
      <c r="IQC41" s="240"/>
      <c r="IQD41" s="239"/>
      <c r="IQE41" s="240"/>
      <c r="IQF41" s="239"/>
      <c r="IQG41" s="240"/>
      <c r="IQH41" s="239"/>
      <c r="IQI41" s="240"/>
      <c r="IQJ41" s="239"/>
      <c r="IQK41" s="240"/>
      <c r="IQL41" s="239"/>
      <c r="IQM41" s="240"/>
      <c r="IQN41" s="239"/>
      <c r="IQO41" s="240"/>
      <c r="IQP41" s="239"/>
      <c r="IQQ41" s="240"/>
      <c r="IQR41" s="239"/>
      <c r="IQS41" s="240"/>
      <c r="IQT41" s="239"/>
      <c r="IQU41" s="240"/>
      <c r="IQV41" s="239"/>
      <c r="IQW41" s="240"/>
      <c r="IQX41" s="239"/>
      <c r="IQY41" s="240"/>
      <c r="IQZ41" s="239"/>
      <c r="IRA41" s="240"/>
      <c r="IRB41" s="239"/>
      <c r="IRC41" s="240"/>
      <c r="IRD41" s="239"/>
      <c r="IRE41" s="240"/>
      <c r="IRF41" s="239"/>
      <c r="IRG41" s="240"/>
      <c r="IRH41" s="239"/>
      <c r="IRI41" s="240"/>
      <c r="IRJ41" s="239"/>
      <c r="IRK41" s="240"/>
      <c r="IRL41" s="239"/>
      <c r="IRM41" s="240"/>
      <c r="IRN41" s="239"/>
      <c r="IRO41" s="240"/>
      <c r="IRP41" s="239"/>
      <c r="IRQ41" s="240"/>
      <c r="IRR41" s="239"/>
      <c r="IRS41" s="240"/>
      <c r="IRT41" s="239"/>
      <c r="IRU41" s="240"/>
      <c r="IRV41" s="239"/>
      <c r="IRW41" s="240"/>
      <c r="IRX41" s="239"/>
      <c r="IRY41" s="240"/>
      <c r="IRZ41" s="239"/>
      <c r="ISA41" s="240"/>
      <c r="ISB41" s="239"/>
      <c r="ISC41" s="240"/>
      <c r="ISD41" s="239"/>
      <c r="ISE41" s="240"/>
      <c r="ISF41" s="239"/>
      <c r="ISG41" s="240"/>
      <c r="ISH41" s="239"/>
      <c r="ISI41" s="240"/>
      <c r="ISJ41" s="239"/>
      <c r="ISK41" s="240"/>
      <c r="ISL41" s="239"/>
      <c r="ISM41" s="240"/>
      <c r="ISN41" s="239"/>
      <c r="ISO41" s="240"/>
      <c r="ISP41" s="239"/>
      <c r="ISQ41" s="240"/>
      <c r="ISR41" s="239"/>
      <c r="ISS41" s="240"/>
      <c r="IST41" s="239"/>
      <c r="ISU41" s="240"/>
      <c r="ISV41" s="239"/>
      <c r="ISW41" s="240"/>
      <c r="ISX41" s="239"/>
      <c r="ISY41" s="240"/>
      <c r="ISZ41" s="239"/>
      <c r="ITA41" s="240"/>
      <c r="ITB41" s="239"/>
      <c r="ITC41" s="240"/>
      <c r="ITD41" s="239"/>
      <c r="ITE41" s="240"/>
      <c r="ITF41" s="239"/>
      <c r="ITG41" s="240"/>
      <c r="ITH41" s="239"/>
      <c r="ITI41" s="240"/>
      <c r="ITJ41" s="239"/>
      <c r="ITK41" s="240"/>
      <c r="ITL41" s="239"/>
      <c r="ITM41" s="240"/>
      <c r="ITN41" s="239"/>
      <c r="ITO41" s="240"/>
      <c r="ITP41" s="239"/>
      <c r="ITQ41" s="240"/>
      <c r="ITR41" s="239"/>
      <c r="ITS41" s="240"/>
      <c r="ITT41" s="239"/>
      <c r="ITU41" s="240"/>
      <c r="ITV41" s="239"/>
      <c r="ITW41" s="240"/>
      <c r="ITX41" s="239"/>
      <c r="ITY41" s="240"/>
      <c r="ITZ41" s="239"/>
      <c r="IUA41" s="240"/>
      <c r="IUB41" s="239"/>
      <c r="IUC41" s="240"/>
      <c r="IUD41" s="239"/>
      <c r="IUE41" s="240"/>
      <c r="IUF41" s="239"/>
      <c r="IUG41" s="240"/>
      <c r="IUH41" s="239"/>
      <c r="IUI41" s="240"/>
      <c r="IUJ41" s="239"/>
      <c r="IUK41" s="240"/>
      <c r="IUL41" s="239"/>
      <c r="IUM41" s="240"/>
      <c r="IUN41" s="239"/>
      <c r="IUO41" s="240"/>
      <c r="IUP41" s="239"/>
      <c r="IUQ41" s="240"/>
      <c r="IUR41" s="239"/>
      <c r="IUS41" s="240"/>
      <c r="IUT41" s="239"/>
      <c r="IUU41" s="240"/>
      <c r="IUV41" s="239"/>
      <c r="IUW41" s="240"/>
      <c r="IUX41" s="239"/>
      <c r="IUY41" s="240"/>
      <c r="IUZ41" s="239"/>
      <c r="IVA41" s="240"/>
      <c r="IVB41" s="239"/>
      <c r="IVC41" s="240"/>
      <c r="IVD41" s="239"/>
      <c r="IVE41" s="240"/>
      <c r="IVF41" s="239"/>
      <c r="IVG41" s="240"/>
      <c r="IVH41" s="239"/>
      <c r="IVI41" s="240"/>
      <c r="IVJ41" s="239"/>
      <c r="IVK41" s="240"/>
      <c r="IVL41" s="239"/>
      <c r="IVM41" s="240"/>
      <c r="IVN41" s="239"/>
      <c r="IVO41" s="240"/>
      <c r="IVP41" s="239"/>
      <c r="IVQ41" s="240"/>
      <c r="IVR41" s="239"/>
      <c r="IVS41" s="240"/>
      <c r="IVT41" s="239"/>
      <c r="IVU41" s="240"/>
      <c r="IVV41" s="239"/>
      <c r="IVW41" s="240"/>
      <c r="IVX41" s="239"/>
      <c r="IVY41" s="240"/>
      <c r="IVZ41" s="239"/>
      <c r="IWA41" s="240"/>
      <c r="IWB41" s="239"/>
      <c r="IWC41" s="240"/>
      <c r="IWD41" s="239"/>
      <c r="IWE41" s="240"/>
      <c r="IWF41" s="239"/>
      <c r="IWG41" s="240"/>
      <c r="IWH41" s="239"/>
      <c r="IWI41" s="240"/>
      <c r="IWJ41" s="239"/>
      <c r="IWK41" s="240"/>
      <c r="IWL41" s="239"/>
      <c r="IWM41" s="240"/>
      <c r="IWN41" s="239"/>
      <c r="IWO41" s="240"/>
      <c r="IWP41" s="239"/>
      <c r="IWQ41" s="240"/>
      <c r="IWR41" s="239"/>
      <c r="IWS41" s="240"/>
      <c r="IWT41" s="239"/>
      <c r="IWU41" s="240"/>
      <c r="IWV41" s="239"/>
      <c r="IWW41" s="240"/>
      <c r="IWX41" s="239"/>
      <c r="IWY41" s="240"/>
      <c r="IWZ41" s="239"/>
      <c r="IXA41" s="240"/>
      <c r="IXB41" s="239"/>
      <c r="IXC41" s="240"/>
      <c r="IXD41" s="239"/>
      <c r="IXE41" s="240"/>
      <c r="IXF41" s="239"/>
      <c r="IXG41" s="240"/>
      <c r="IXH41" s="239"/>
      <c r="IXI41" s="240"/>
      <c r="IXJ41" s="239"/>
      <c r="IXK41" s="240"/>
      <c r="IXL41" s="239"/>
      <c r="IXM41" s="240"/>
      <c r="IXN41" s="239"/>
      <c r="IXO41" s="240"/>
      <c r="IXP41" s="239"/>
      <c r="IXQ41" s="240"/>
      <c r="IXR41" s="239"/>
      <c r="IXS41" s="240"/>
      <c r="IXT41" s="239"/>
      <c r="IXU41" s="240"/>
      <c r="IXV41" s="239"/>
      <c r="IXW41" s="240"/>
      <c r="IXX41" s="239"/>
      <c r="IXY41" s="240"/>
      <c r="IXZ41" s="239"/>
      <c r="IYA41" s="240"/>
      <c r="IYB41" s="239"/>
      <c r="IYC41" s="240"/>
      <c r="IYD41" s="239"/>
      <c r="IYE41" s="240"/>
      <c r="IYF41" s="239"/>
      <c r="IYG41" s="240"/>
      <c r="IYH41" s="239"/>
      <c r="IYI41" s="240"/>
      <c r="IYJ41" s="239"/>
      <c r="IYK41" s="240"/>
      <c r="IYL41" s="239"/>
      <c r="IYM41" s="240"/>
      <c r="IYN41" s="239"/>
      <c r="IYO41" s="240"/>
      <c r="IYP41" s="239"/>
      <c r="IYQ41" s="240"/>
      <c r="IYR41" s="239"/>
      <c r="IYS41" s="240"/>
      <c r="IYT41" s="239"/>
      <c r="IYU41" s="240"/>
      <c r="IYV41" s="239"/>
      <c r="IYW41" s="240"/>
      <c r="IYX41" s="239"/>
      <c r="IYY41" s="240"/>
      <c r="IYZ41" s="239"/>
      <c r="IZA41" s="240"/>
      <c r="IZB41" s="239"/>
      <c r="IZC41" s="240"/>
      <c r="IZD41" s="239"/>
      <c r="IZE41" s="240"/>
      <c r="IZF41" s="239"/>
      <c r="IZG41" s="240"/>
      <c r="IZH41" s="239"/>
      <c r="IZI41" s="240"/>
      <c r="IZJ41" s="239"/>
      <c r="IZK41" s="240"/>
      <c r="IZL41" s="239"/>
      <c r="IZM41" s="240"/>
      <c r="IZN41" s="239"/>
      <c r="IZO41" s="240"/>
      <c r="IZP41" s="239"/>
      <c r="IZQ41" s="240"/>
      <c r="IZR41" s="239"/>
      <c r="IZS41" s="240"/>
      <c r="IZT41" s="239"/>
      <c r="IZU41" s="240"/>
      <c r="IZV41" s="239"/>
      <c r="IZW41" s="240"/>
      <c r="IZX41" s="239"/>
      <c r="IZY41" s="240"/>
      <c r="IZZ41" s="239"/>
      <c r="JAA41" s="240"/>
      <c r="JAB41" s="239"/>
      <c r="JAC41" s="240"/>
      <c r="JAD41" s="239"/>
      <c r="JAE41" s="240"/>
      <c r="JAF41" s="239"/>
      <c r="JAG41" s="240"/>
      <c r="JAH41" s="239"/>
      <c r="JAI41" s="240"/>
      <c r="JAJ41" s="239"/>
      <c r="JAK41" s="240"/>
      <c r="JAL41" s="239"/>
      <c r="JAM41" s="240"/>
      <c r="JAN41" s="239"/>
      <c r="JAO41" s="240"/>
      <c r="JAP41" s="239"/>
      <c r="JAQ41" s="240"/>
      <c r="JAR41" s="239"/>
      <c r="JAS41" s="240"/>
      <c r="JAT41" s="239"/>
      <c r="JAU41" s="240"/>
      <c r="JAV41" s="239"/>
      <c r="JAW41" s="240"/>
      <c r="JAX41" s="239"/>
      <c r="JAY41" s="240"/>
      <c r="JAZ41" s="239"/>
      <c r="JBA41" s="240"/>
      <c r="JBB41" s="239"/>
      <c r="JBC41" s="240"/>
      <c r="JBD41" s="239"/>
      <c r="JBE41" s="240"/>
      <c r="JBF41" s="239"/>
      <c r="JBG41" s="240"/>
      <c r="JBH41" s="239"/>
      <c r="JBI41" s="240"/>
      <c r="JBJ41" s="239"/>
      <c r="JBK41" s="240"/>
      <c r="JBL41" s="239"/>
      <c r="JBM41" s="240"/>
      <c r="JBN41" s="239"/>
      <c r="JBO41" s="240"/>
      <c r="JBP41" s="239"/>
      <c r="JBQ41" s="240"/>
      <c r="JBR41" s="239"/>
      <c r="JBS41" s="240"/>
      <c r="JBT41" s="239"/>
      <c r="JBU41" s="240"/>
      <c r="JBV41" s="239"/>
      <c r="JBW41" s="240"/>
      <c r="JBX41" s="239"/>
      <c r="JBY41" s="240"/>
      <c r="JBZ41" s="239"/>
      <c r="JCA41" s="240"/>
      <c r="JCB41" s="239"/>
      <c r="JCC41" s="240"/>
      <c r="JCD41" s="239"/>
      <c r="JCE41" s="240"/>
      <c r="JCF41" s="239"/>
      <c r="JCG41" s="240"/>
      <c r="JCH41" s="239"/>
      <c r="JCI41" s="240"/>
      <c r="JCJ41" s="239"/>
      <c r="JCK41" s="240"/>
      <c r="JCL41" s="239"/>
      <c r="JCM41" s="240"/>
      <c r="JCN41" s="239"/>
      <c r="JCO41" s="240"/>
      <c r="JCP41" s="239"/>
      <c r="JCQ41" s="240"/>
      <c r="JCR41" s="239"/>
      <c r="JCS41" s="240"/>
      <c r="JCT41" s="239"/>
      <c r="JCU41" s="240"/>
      <c r="JCV41" s="239"/>
      <c r="JCW41" s="240"/>
      <c r="JCX41" s="239"/>
      <c r="JCY41" s="240"/>
      <c r="JCZ41" s="239"/>
      <c r="JDA41" s="240"/>
      <c r="JDB41" s="239"/>
      <c r="JDC41" s="240"/>
      <c r="JDD41" s="239"/>
      <c r="JDE41" s="240"/>
      <c r="JDF41" s="239"/>
      <c r="JDG41" s="240"/>
      <c r="JDH41" s="239"/>
      <c r="JDI41" s="240"/>
      <c r="JDJ41" s="239"/>
      <c r="JDK41" s="240"/>
      <c r="JDL41" s="239"/>
      <c r="JDM41" s="240"/>
      <c r="JDN41" s="239"/>
      <c r="JDO41" s="240"/>
      <c r="JDP41" s="239"/>
      <c r="JDQ41" s="240"/>
      <c r="JDR41" s="239"/>
      <c r="JDS41" s="240"/>
      <c r="JDT41" s="239"/>
      <c r="JDU41" s="240"/>
      <c r="JDV41" s="239"/>
      <c r="JDW41" s="240"/>
      <c r="JDX41" s="239"/>
      <c r="JDY41" s="240"/>
      <c r="JDZ41" s="239"/>
      <c r="JEA41" s="240"/>
      <c r="JEB41" s="239"/>
      <c r="JEC41" s="240"/>
      <c r="JED41" s="239"/>
      <c r="JEE41" s="240"/>
      <c r="JEF41" s="239"/>
      <c r="JEG41" s="240"/>
      <c r="JEH41" s="239"/>
      <c r="JEI41" s="240"/>
      <c r="JEJ41" s="239"/>
      <c r="JEK41" s="240"/>
      <c r="JEL41" s="239"/>
      <c r="JEM41" s="240"/>
      <c r="JEN41" s="239"/>
      <c r="JEO41" s="240"/>
      <c r="JEP41" s="239"/>
      <c r="JEQ41" s="240"/>
      <c r="JER41" s="239"/>
      <c r="JES41" s="240"/>
      <c r="JET41" s="239"/>
      <c r="JEU41" s="240"/>
      <c r="JEV41" s="239"/>
      <c r="JEW41" s="240"/>
      <c r="JEX41" s="239"/>
      <c r="JEY41" s="240"/>
      <c r="JEZ41" s="239"/>
      <c r="JFA41" s="240"/>
      <c r="JFB41" s="239"/>
      <c r="JFC41" s="240"/>
      <c r="JFD41" s="239"/>
      <c r="JFE41" s="240"/>
      <c r="JFF41" s="239"/>
      <c r="JFG41" s="240"/>
      <c r="JFH41" s="239"/>
      <c r="JFI41" s="240"/>
      <c r="JFJ41" s="239"/>
      <c r="JFK41" s="240"/>
      <c r="JFL41" s="239"/>
      <c r="JFM41" s="240"/>
      <c r="JFN41" s="239"/>
      <c r="JFO41" s="240"/>
      <c r="JFP41" s="239"/>
      <c r="JFQ41" s="240"/>
      <c r="JFR41" s="239"/>
      <c r="JFS41" s="240"/>
      <c r="JFT41" s="239"/>
      <c r="JFU41" s="240"/>
      <c r="JFV41" s="239"/>
      <c r="JFW41" s="240"/>
      <c r="JFX41" s="239"/>
      <c r="JFY41" s="240"/>
      <c r="JFZ41" s="239"/>
      <c r="JGA41" s="240"/>
      <c r="JGB41" s="239"/>
      <c r="JGC41" s="240"/>
      <c r="JGD41" s="239"/>
      <c r="JGE41" s="240"/>
      <c r="JGF41" s="239"/>
      <c r="JGG41" s="240"/>
      <c r="JGH41" s="239"/>
      <c r="JGI41" s="240"/>
      <c r="JGJ41" s="239"/>
      <c r="JGK41" s="240"/>
      <c r="JGL41" s="239"/>
      <c r="JGM41" s="240"/>
      <c r="JGN41" s="239"/>
      <c r="JGO41" s="240"/>
      <c r="JGP41" s="239"/>
      <c r="JGQ41" s="240"/>
      <c r="JGR41" s="239"/>
      <c r="JGS41" s="240"/>
      <c r="JGT41" s="239"/>
      <c r="JGU41" s="240"/>
      <c r="JGV41" s="239"/>
      <c r="JGW41" s="240"/>
      <c r="JGX41" s="239"/>
      <c r="JGY41" s="240"/>
      <c r="JGZ41" s="239"/>
      <c r="JHA41" s="240"/>
      <c r="JHB41" s="239"/>
      <c r="JHC41" s="240"/>
      <c r="JHD41" s="239"/>
      <c r="JHE41" s="240"/>
      <c r="JHF41" s="239"/>
      <c r="JHG41" s="240"/>
      <c r="JHH41" s="239"/>
      <c r="JHI41" s="240"/>
      <c r="JHJ41" s="239"/>
      <c r="JHK41" s="240"/>
      <c r="JHL41" s="239"/>
      <c r="JHM41" s="240"/>
      <c r="JHN41" s="239"/>
      <c r="JHO41" s="240"/>
      <c r="JHP41" s="239"/>
      <c r="JHQ41" s="240"/>
      <c r="JHR41" s="239"/>
      <c r="JHS41" s="240"/>
      <c r="JHT41" s="239"/>
      <c r="JHU41" s="240"/>
      <c r="JHV41" s="239"/>
      <c r="JHW41" s="240"/>
      <c r="JHX41" s="239"/>
      <c r="JHY41" s="240"/>
      <c r="JHZ41" s="239"/>
      <c r="JIA41" s="240"/>
      <c r="JIB41" s="239"/>
      <c r="JIC41" s="240"/>
      <c r="JID41" s="239"/>
      <c r="JIE41" s="240"/>
      <c r="JIF41" s="239"/>
      <c r="JIG41" s="240"/>
      <c r="JIH41" s="239"/>
      <c r="JII41" s="240"/>
      <c r="JIJ41" s="239"/>
      <c r="JIK41" s="240"/>
      <c r="JIL41" s="239"/>
      <c r="JIM41" s="240"/>
      <c r="JIN41" s="239"/>
      <c r="JIO41" s="240"/>
      <c r="JIP41" s="239"/>
      <c r="JIQ41" s="240"/>
      <c r="JIR41" s="239"/>
      <c r="JIS41" s="240"/>
      <c r="JIT41" s="239"/>
      <c r="JIU41" s="240"/>
      <c r="JIV41" s="239"/>
      <c r="JIW41" s="240"/>
      <c r="JIX41" s="239"/>
      <c r="JIY41" s="240"/>
      <c r="JIZ41" s="239"/>
      <c r="JJA41" s="240"/>
      <c r="JJB41" s="239"/>
      <c r="JJC41" s="240"/>
      <c r="JJD41" s="239"/>
      <c r="JJE41" s="240"/>
      <c r="JJF41" s="239"/>
      <c r="JJG41" s="240"/>
      <c r="JJH41" s="239"/>
      <c r="JJI41" s="240"/>
      <c r="JJJ41" s="239"/>
      <c r="JJK41" s="240"/>
      <c r="JJL41" s="239"/>
      <c r="JJM41" s="240"/>
      <c r="JJN41" s="239"/>
      <c r="JJO41" s="240"/>
      <c r="JJP41" s="239"/>
      <c r="JJQ41" s="240"/>
      <c r="JJR41" s="239"/>
      <c r="JJS41" s="240"/>
      <c r="JJT41" s="239"/>
      <c r="JJU41" s="240"/>
      <c r="JJV41" s="239"/>
      <c r="JJW41" s="240"/>
      <c r="JJX41" s="239"/>
      <c r="JJY41" s="240"/>
      <c r="JJZ41" s="239"/>
      <c r="JKA41" s="240"/>
      <c r="JKB41" s="239"/>
      <c r="JKC41" s="240"/>
      <c r="JKD41" s="239"/>
      <c r="JKE41" s="240"/>
      <c r="JKF41" s="239"/>
      <c r="JKG41" s="240"/>
      <c r="JKH41" s="239"/>
      <c r="JKI41" s="240"/>
      <c r="JKJ41" s="239"/>
      <c r="JKK41" s="240"/>
      <c r="JKL41" s="239"/>
      <c r="JKM41" s="240"/>
      <c r="JKN41" s="239"/>
      <c r="JKO41" s="240"/>
      <c r="JKP41" s="239"/>
      <c r="JKQ41" s="240"/>
      <c r="JKR41" s="239"/>
      <c r="JKS41" s="240"/>
      <c r="JKT41" s="239"/>
      <c r="JKU41" s="240"/>
      <c r="JKV41" s="239"/>
      <c r="JKW41" s="240"/>
      <c r="JKX41" s="239"/>
      <c r="JKY41" s="240"/>
      <c r="JKZ41" s="239"/>
      <c r="JLA41" s="240"/>
      <c r="JLB41" s="239"/>
      <c r="JLC41" s="240"/>
      <c r="JLD41" s="239"/>
      <c r="JLE41" s="240"/>
      <c r="JLF41" s="239"/>
      <c r="JLG41" s="240"/>
      <c r="JLH41" s="239"/>
      <c r="JLI41" s="240"/>
      <c r="JLJ41" s="239"/>
      <c r="JLK41" s="240"/>
      <c r="JLL41" s="239"/>
      <c r="JLM41" s="240"/>
      <c r="JLN41" s="239"/>
      <c r="JLO41" s="240"/>
      <c r="JLP41" s="239"/>
      <c r="JLQ41" s="240"/>
      <c r="JLR41" s="239"/>
      <c r="JLS41" s="240"/>
      <c r="JLT41" s="239"/>
      <c r="JLU41" s="240"/>
      <c r="JLV41" s="239"/>
      <c r="JLW41" s="240"/>
      <c r="JLX41" s="239"/>
      <c r="JLY41" s="240"/>
      <c r="JLZ41" s="239"/>
      <c r="JMA41" s="240"/>
      <c r="JMB41" s="239"/>
      <c r="JMC41" s="240"/>
      <c r="JMD41" s="239"/>
      <c r="JME41" s="240"/>
      <c r="JMF41" s="239"/>
      <c r="JMG41" s="240"/>
      <c r="JMH41" s="239"/>
      <c r="JMI41" s="240"/>
      <c r="JMJ41" s="239"/>
      <c r="JMK41" s="240"/>
      <c r="JML41" s="239"/>
      <c r="JMM41" s="240"/>
      <c r="JMN41" s="239"/>
      <c r="JMO41" s="240"/>
      <c r="JMP41" s="239"/>
      <c r="JMQ41" s="240"/>
      <c r="JMR41" s="239"/>
      <c r="JMS41" s="240"/>
      <c r="JMT41" s="239"/>
      <c r="JMU41" s="240"/>
      <c r="JMV41" s="239"/>
      <c r="JMW41" s="240"/>
      <c r="JMX41" s="239"/>
      <c r="JMY41" s="240"/>
      <c r="JMZ41" s="239"/>
      <c r="JNA41" s="240"/>
      <c r="JNB41" s="239"/>
      <c r="JNC41" s="240"/>
      <c r="JND41" s="239"/>
      <c r="JNE41" s="240"/>
      <c r="JNF41" s="239"/>
      <c r="JNG41" s="240"/>
      <c r="JNH41" s="239"/>
      <c r="JNI41" s="240"/>
      <c r="JNJ41" s="239"/>
      <c r="JNK41" s="240"/>
      <c r="JNL41" s="239"/>
      <c r="JNM41" s="240"/>
      <c r="JNN41" s="239"/>
      <c r="JNO41" s="240"/>
      <c r="JNP41" s="239"/>
      <c r="JNQ41" s="240"/>
      <c r="JNR41" s="239"/>
      <c r="JNS41" s="240"/>
      <c r="JNT41" s="239"/>
      <c r="JNU41" s="240"/>
      <c r="JNV41" s="239"/>
      <c r="JNW41" s="240"/>
      <c r="JNX41" s="239"/>
      <c r="JNY41" s="240"/>
      <c r="JNZ41" s="239"/>
      <c r="JOA41" s="240"/>
      <c r="JOB41" s="239"/>
      <c r="JOC41" s="240"/>
      <c r="JOD41" s="239"/>
      <c r="JOE41" s="240"/>
      <c r="JOF41" s="239"/>
      <c r="JOG41" s="240"/>
      <c r="JOH41" s="239"/>
      <c r="JOI41" s="240"/>
      <c r="JOJ41" s="239"/>
      <c r="JOK41" s="240"/>
      <c r="JOL41" s="239"/>
      <c r="JOM41" s="240"/>
      <c r="JON41" s="239"/>
      <c r="JOO41" s="240"/>
      <c r="JOP41" s="239"/>
      <c r="JOQ41" s="240"/>
      <c r="JOR41" s="239"/>
      <c r="JOS41" s="240"/>
      <c r="JOT41" s="239"/>
      <c r="JOU41" s="240"/>
      <c r="JOV41" s="239"/>
      <c r="JOW41" s="240"/>
      <c r="JOX41" s="239"/>
      <c r="JOY41" s="240"/>
      <c r="JOZ41" s="239"/>
      <c r="JPA41" s="240"/>
      <c r="JPB41" s="239"/>
      <c r="JPC41" s="240"/>
      <c r="JPD41" s="239"/>
      <c r="JPE41" s="240"/>
      <c r="JPF41" s="239"/>
      <c r="JPG41" s="240"/>
      <c r="JPH41" s="239"/>
      <c r="JPI41" s="240"/>
      <c r="JPJ41" s="239"/>
      <c r="JPK41" s="240"/>
      <c r="JPL41" s="239"/>
      <c r="JPM41" s="240"/>
      <c r="JPN41" s="239"/>
      <c r="JPO41" s="240"/>
      <c r="JPP41" s="239"/>
      <c r="JPQ41" s="240"/>
      <c r="JPR41" s="239"/>
      <c r="JPS41" s="240"/>
      <c r="JPT41" s="239"/>
      <c r="JPU41" s="240"/>
      <c r="JPV41" s="239"/>
      <c r="JPW41" s="240"/>
      <c r="JPX41" s="239"/>
      <c r="JPY41" s="240"/>
      <c r="JPZ41" s="239"/>
      <c r="JQA41" s="240"/>
      <c r="JQB41" s="239"/>
      <c r="JQC41" s="240"/>
      <c r="JQD41" s="239"/>
      <c r="JQE41" s="240"/>
      <c r="JQF41" s="239"/>
      <c r="JQG41" s="240"/>
      <c r="JQH41" s="239"/>
      <c r="JQI41" s="240"/>
      <c r="JQJ41" s="239"/>
      <c r="JQK41" s="240"/>
      <c r="JQL41" s="239"/>
      <c r="JQM41" s="240"/>
      <c r="JQN41" s="239"/>
      <c r="JQO41" s="240"/>
      <c r="JQP41" s="239"/>
      <c r="JQQ41" s="240"/>
      <c r="JQR41" s="239"/>
      <c r="JQS41" s="240"/>
      <c r="JQT41" s="239"/>
      <c r="JQU41" s="240"/>
      <c r="JQV41" s="239"/>
      <c r="JQW41" s="240"/>
      <c r="JQX41" s="239"/>
      <c r="JQY41" s="240"/>
      <c r="JQZ41" s="239"/>
      <c r="JRA41" s="240"/>
      <c r="JRB41" s="239"/>
      <c r="JRC41" s="240"/>
      <c r="JRD41" s="239"/>
      <c r="JRE41" s="240"/>
      <c r="JRF41" s="239"/>
      <c r="JRG41" s="240"/>
      <c r="JRH41" s="239"/>
      <c r="JRI41" s="240"/>
      <c r="JRJ41" s="239"/>
      <c r="JRK41" s="240"/>
      <c r="JRL41" s="239"/>
      <c r="JRM41" s="240"/>
      <c r="JRN41" s="239"/>
      <c r="JRO41" s="240"/>
      <c r="JRP41" s="239"/>
      <c r="JRQ41" s="240"/>
      <c r="JRR41" s="239"/>
      <c r="JRS41" s="240"/>
      <c r="JRT41" s="239"/>
      <c r="JRU41" s="240"/>
      <c r="JRV41" s="239"/>
      <c r="JRW41" s="240"/>
      <c r="JRX41" s="239"/>
      <c r="JRY41" s="240"/>
      <c r="JRZ41" s="239"/>
      <c r="JSA41" s="240"/>
      <c r="JSB41" s="239"/>
      <c r="JSC41" s="240"/>
      <c r="JSD41" s="239"/>
      <c r="JSE41" s="240"/>
      <c r="JSF41" s="239"/>
      <c r="JSG41" s="240"/>
      <c r="JSH41" s="239"/>
      <c r="JSI41" s="240"/>
      <c r="JSJ41" s="239"/>
      <c r="JSK41" s="240"/>
      <c r="JSL41" s="239"/>
      <c r="JSM41" s="240"/>
      <c r="JSN41" s="239"/>
      <c r="JSO41" s="240"/>
      <c r="JSP41" s="239"/>
      <c r="JSQ41" s="240"/>
      <c r="JSR41" s="239"/>
      <c r="JSS41" s="240"/>
      <c r="JST41" s="239"/>
      <c r="JSU41" s="240"/>
      <c r="JSV41" s="239"/>
      <c r="JSW41" s="240"/>
      <c r="JSX41" s="239"/>
      <c r="JSY41" s="240"/>
      <c r="JSZ41" s="239"/>
      <c r="JTA41" s="240"/>
      <c r="JTB41" s="239"/>
      <c r="JTC41" s="240"/>
      <c r="JTD41" s="239"/>
      <c r="JTE41" s="240"/>
      <c r="JTF41" s="239"/>
      <c r="JTG41" s="240"/>
      <c r="JTH41" s="239"/>
      <c r="JTI41" s="240"/>
      <c r="JTJ41" s="239"/>
      <c r="JTK41" s="240"/>
      <c r="JTL41" s="239"/>
      <c r="JTM41" s="240"/>
      <c r="JTN41" s="239"/>
      <c r="JTO41" s="240"/>
      <c r="JTP41" s="239"/>
      <c r="JTQ41" s="240"/>
      <c r="JTR41" s="239"/>
      <c r="JTS41" s="240"/>
      <c r="JTT41" s="239"/>
      <c r="JTU41" s="240"/>
      <c r="JTV41" s="239"/>
      <c r="JTW41" s="240"/>
      <c r="JTX41" s="239"/>
      <c r="JTY41" s="240"/>
      <c r="JTZ41" s="239"/>
      <c r="JUA41" s="240"/>
      <c r="JUB41" s="239"/>
      <c r="JUC41" s="240"/>
      <c r="JUD41" s="239"/>
      <c r="JUE41" s="240"/>
      <c r="JUF41" s="239"/>
      <c r="JUG41" s="240"/>
      <c r="JUH41" s="239"/>
      <c r="JUI41" s="240"/>
      <c r="JUJ41" s="239"/>
      <c r="JUK41" s="240"/>
      <c r="JUL41" s="239"/>
      <c r="JUM41" s="240"/>
      <c r="JUN41" s="239"/>
      <c r="JUO41" s="240"/>
      <c r="JUP41" s="239"/>
      <c r="JUQ41" s="240"/>
      <c r="JUR41" s="239"/>
      <c r="JUS41" s="240"/>
      <c r="JUT41" s="239"/>
      <c r="JUU41" s="240"/>
      <c r="JUV41" s="239"/>
      <c r="JUW41" s="240"/>
      <c r="JUX41" s="239"/>
      <c r="JUY41" s="240"/>
      <c r="JUZ41" s="239"/>
      <c r="JVA41" s="240"/>
      <c r="JVB41" s="239"/>
      <c r="JVC41" s="240"/>
      <c r="JVD41" s="239"/>
      <c r="JVE41" s="240"/>
      <c r="JVF41" s="239"/>
      <c r="JVG41" s="240"/>
      <c r="JVH41" s="239"/>
      <c r="JVI41" s="240"/>
      <c r="JVJ41" s="239"/>
      <c r="JVK41" s="240"/>
      <c r="JVL41" s="239"/>
      <c r="JVM41" s="240"/>
      <c r="JVN41" s="239"/>
      <c r="JVO41" s="240"/>
      <c r="JVP41" s="239"/>
      <c r="JVQ41" s="240"/>
      <c r="JVR41" s="239"/>
      <c r="JVS41" s="240"/>
      <c r="JVT41" s="239"/>
      <c r="JVU41" s="240"/>
      <c r="JVV41" s="239"/>
      <c r="JVW41" s="240"/>
      <c r="JVX41" s="239"/>
      <c r="JVY41" s="240"/>
      <c r="JVZ41" s="239"/>
      <c r="JWA41" s="240"/>
      <c r="JWB41" s="239"/>
      <c r="JWC41" s="240"/>
      <c r="JWD41" s="239"/>
      <c r="JWE41" s="240"/>
      <c r="JWF41" s="239"/>
      <c r="JWG41" s="240"/>
      <c r="JWH41" s="239"/>
      <c r="JWI41" s="240"/>
      <c r="JWJ41" s="239"/>
      <c r="JWK41" s="240"/>
      <c r="JWL41" s="239"/>
      <c r="JWM41" s="240"/>
      <c r="JWN41" s="239"/>
      <c r="JWO41" s="240"/>
      <c r="JWP41" s="239"/>
      <c r="JWQ41" s="240"/>
      <c r="JWR41" s="239"/>
      <c r="JWS41" s="240"/>
      <c r="JWT41" s="239"/>
      <c r="JWU41" s="240"/>
      <c r="JWV41" s="239"/>
      <c r="JWW41" s="240"/>
      <c r="JWX41" s="239"/>
      <c r="JWY41" s="240"/>
      <c r="JWZ41" s="239"/>
      <c r="JXA41" s="240"/>
      <c r="JXB41" s="239"/>
      <c r="JXC41" s="240"/>
      <c r="JXD41" s="239"/>
      <c r="JXE41" s="240"/>
      <c r="JXF41" s="239"/>
      <c r="JXG41" s="240"/>
      <c r="JXH41" s="239"/>
      <c r="JXI41" s="240"/>
      <c r="JXJ41" s="239"/>
      <c r="JXK41" s="240"/>
      <c r="JXL41" s="239"/>
      <c r="JXM41" s="240"/>
      <c r="JXN41" s="239"/>
      <c r="JXO41" s="240"/>
      <c r="JXP41" s="239"/>
      <c r="JXQ41" s="240"/>
      <c r="JXR41" s="239"/>
      <c r="JXS41" s="240"/>
      <c r="JXT41" s="239"/>
      <c r="JXU41" s="240"/>
      <c r="JXV41" s="239"/>
      <c r="JXW41" s="240"/>
      <c r="JXX41" s="239"/>
      <c r="JXY41" s="240"/>
      <c r="JXZ41" s="239"/>
      <c r="JYA41" s="240"/>
      <c r="JYB41" s="239"/>
      <c r="JYC41" s="240"/>
      <c r="JYD41" s="239"/>
      <c r="JYE41" s="240"/>
      <c r="JYF41" s="239"/>
      <c r="JYG41" s="240"/>
      <c r="JYH41" s="239"/>
      <c r="JYI41" s="240"/>
      <c r="JYJ41" s="239"/>
      <c r="JYK41" s="240"/>
      <c r="JYL41" s="239"/>
      <c r="JYM41" s="240"/>
      <c r="JYN41" s="239"/>
      <c r="JYO41" s="240"/>
      <c r="JYP41" s="239"/>
      <c r="JYQ41" s="240"/>
      <c r="JYR41" s="239"/>
      <c r="JYS41" s="240"/>
      <c r="JYT41" s="239"/>
      <c r="JYU41" s="240"/>
      <c r="JYV41" s="239"/>
      <c r="JYW41" s="240"/>
      <c r="JYX41" s="239"/>
      <c r="JYY41" s="240"/>
      <c r="JYZ41" s="239"/>
      <c r="JZA41" s="240"/>
      <c r="JZB41" s="239"/>
      <c r="JZC41" s="240"/>
      <c r="JZD41" s="239"/>
      <c r="JZE41" s="240"/>
      <c r="JZF41" s="239"/>
      <c r="JZG41" s="240"/>
      <c r="JZH41" s="239"/>
      <c r="JZI41" s="240"/>
      <c r="JZJ41" s="239"/>
      <c r="JZK41" s="240"/>
      <c r="JZL41" s="239"/>
      <c r="JZM41" s="240"/>
      <c r="JZN41" s="239"/>
      <c r="JZO41" s="240"/>
      <c r="JZP41" s="239"/>
      <c r="JZQ41" s="240"/>
      <c r="JZR41" s="239"/>
      <c r="JZS41" s="240"/>
      <c r="JZT41" s="239"/>
      <c r="JZU41" s="240"/>
      <c r="JZV41" s="239"/>
      <c r="JZW41" s="240"/>
      <c r="JZX41" s="239"/>
      <c r="JZY41" s="240"/>
      <c r="JZZ41" s="239"/>
      <c r="KAA41" s="240"/>
      <c r="KAB41" s="239"/>
      <c r="KAC41" s="240"/>
      <c r="KAD41" s="239"/>
      <c r="KAE41" s="240"/>
      <c r="KAF41" s="239"/>
      <c r="KAG41" s="240"/>
      <c r="KAH41" s="239"/>
      <c r="KAI41" s="240"/>
      <c r="KAJ41" s="239"/>
      <c r="KAK41" s="240"/>
      <c r="KAL41" s="239"/>
      <c r="KAM41" s="240"/>
      <c r="KAN41" s="239"/>
      <c r="KAO41" s="240"/>
      <c r="KAP41" s="239"/>
      <c r="KAQ41" s="240"/>
      <c r="KAR41" s="239"/>
      <c r="KAS41" s="240"/>
      <c r="KAT41" s="239"/>
      <c r="KAU41" s="240"/>
      <c r="KAV41" s="239"/>
      <c r="KAW41" s="240"/>
      <c r="KAX41" s="239"/>
      <c r="KAY41" s="240"/>
      <c r="KAZ41" s="239"/>
      <c r="KBA41" s="240"/>
      <c r="KBB41" s="239"/>
      <c r="KBC41" s="240"/>
      <c r="KBD41" s="239"/>
      <c r="KBE41" s="240"/>
      <c r="KBF41" s="239"/>
      <c r="KBG41" s="240"/>
      <c r="KBH41" s="239"/>
      <c r="KBI41" s="240"/>
      <c r="KBJ41" s="239"/>
      <c r="KBK41" s="240"/>
      <c r="KBL41" s="239"/>
      <c r="KBM41" s="240"/>
      <c r="KBN41" s="239"/>
      <c r="KBO41" s="240"/>
      <c r="KBP41" s="239"/>
      <c r="KBQ41" s="240"/>
      <c r="KBR41" s="239"/>
      <c r="KBS41" s="240"/>
      <c r="KBT41" s="239"/>
      <c r="KBU41" s="240"/>
      <c r="KBV41" s="239"/>
      <c r="KBW41" s="240"/>
      <c r="KBX41" s="239"/>
      <c r="KBY41" s="240"/>
      <c r="KBZ41" s="239"/>
      <c r="KCA41" s="240"/>
      <c r="KCB41" s="239"/>
      <c r="KCC41" s="240"/>
      <c r="KCD41" s="239"/>
      <c r="KCE41" s="240"/>
      <c r="KCF41" s="239"/>
      <c r="KCG41" s="240"/>
      <c r="KCH41" s="239"/>
      <c r="KCI41" s="240"/>
      <c r="KCJ41" s="239"/>
      <c r="KCK41" s="240"/>
      <c r="KCL41" s="239"/>
      <c r="KCM41" s="240"/>
      <c r="KCN41" s="239"/>
      <c r="KCO41" s="240"/>
      <c r="KCP41" s="239"/>
      <c r="KCQ41" s="240"/>
      <c r="KCR41" s="239"/>
      <c r="KCS41" s="240"/>
      <c r="KCT41" s="239"/>
      <c r="KCU41" s="240"/>
      <c r="KCV41" s="239"/>
      <c r="KCW41" s="240"/>
      <c r="KCX41" s="239"/>
      <c r="KCY41" s="240"/>
      <c r="KCZ41" s="239"/>
      <c r="KDA41" s="240"/>
      <c r="KDB41" s="239"/>
      <c r="KDC41" s="240"/>
      <c r="KDD41" s="239"/>
      <c r="KDE41" s="240"/>
      <c r="KDF41" s="239"/>
      <c r="KDG41" s="240"/>
      <c r="KDH41" s="239"/>
      <c r="KDI41" s="240"/>
      <c r="KDJ41" s="239"/>
      <c r="KDK41" s="240"/>
      <c r="KDL41" s="239"/>
      <c r="KDM41" s="240"/>
      <c r="KDN41" s="239"/>
      <c r="KDO41" s="240"/>
      <c r="KDP41" s="239"/>
      <c r="KDQ41" s="240"/>
      <c r="KDR41" s="239"/>
      <c r="KDS41" s="240"/>
      <c r="KDT41" s="239"/>
      <c r="KDU41" s="240"/>
      <c r="KDV41" s="239"/>
      <c r="KDW41" s="240"/>
      <c r="KDX41" s="239"/>
      <c r="KDY41" s="240"/>
      <c r="KDZ41" s="239"/>
      <c r="KEA41" s="240"/>
      <c r="KEB41" s="239"/>
      <c r="KEC41" s="240"/>
      <c r="KED41" s="239"/>
      <c r="KEE41" s="240"/>
      <c r="KEF41" s="239"/>
      <c r="KEG41" s="240"/>
      <c r="KEH41" s="239"/>
      <c r="KEI41" s="240"/>
      <c r="KEJ41" s="239"/>
      <c r="KEK41" s="240"/>
      <c r="KEL41" s="239"/>
      <c r="KEM41" s="240"/>
      <c r="KEN41" s="239"/>
      <c r="KEO41" s="240"/>
      <c r="KEP41" s="239"/>
      <c r="KEQ41" s="240"/>
      <c r="KER41" s="239"/>
      <c r="KES41" s="240"/>
      <c r="KET41" s="239"/>
      <c r="KEU41" s="240"/>
      <c r="KEV41" s="239"/>
      <c r="KEW41" s="240"/>
      <c r="KEX41" s="239"/>
      <c r="KEY41" s="240"/>
      <c r="KEZ41" s="239"/>
      <c r="KFA41" s="240"/>
      <c r="KFB41" s="239"/>
      <c r="KFC41" s="240"/>
      <c r="KFD41" s="239"/>
      <c r="KFE41" s="240"/>
      <c r="KFF41" s="239"/>
      <c r="KFG41" s="240"/>
      <c r="KFH41" s="239"/>
      <c r="KFI41" s="240"/>
      <c r="KFJ41" s="239"/>
      <c r="KFK41" s="240"/>
      <c r="KFL41" s="239"/>
      <c r="KFM41" s="240"/>
      <c r="KFN41" s="239"/>
      <c r="KFO41" s="240"/>
      <c r="KFP41" s="239"/>
      <c r="KFQ41" s="240"/>
      <c r="KFR41" s="239"/>
      <c r="KFS41" s="240"/>
      <c r="KFT41" s="239"/>
      <c r="KFU41" s="240"/>
      <c r="KFV41" s="239"/>
      <c r="KFW41" s="240"/>
      <c r="KFX41" s="239"/>
      <c r="KFY41" s="240"/>
      <c r="KFZ41" s="239"/>
      <c r="KGA41" s="240"/>
      <c r="KGB41" s="239"/>
      <c r="KGC41" s="240"/>
      <c r="KGD41" s="239"/>
      <c r="KGE41" s="240"/>
      <c r="KGF41" s="239"/>
      <c r="KGG41" s="240"/>
      <c r="KGH41" s="239"/>
      <c r="KGI41" s="240"/>
      <c r="KGJ41" s="239"/>
      <c r="KGK41" s="240"/>
      <c r="KGL41" s="239"/>
      <c r="KGM41" s="240"/>
      <c r="KGN41" s="239"/>
      <c r="KGO41" s="240"/>
      <c r="KGP41" s="239"/>
      <c r="KGQ41" s="240"/>
      <c r="KGR41" s="239"/>
      <c r="KGS41" s="240"/>
      <c r="KGT41" s="239"/>
      <c r="KGU41" s="240"/>
      <c r="KGV41" s="239"/>
      <c r="KGW41" s="240"/>
      <c r="KGX41" s="239"/>
      <c r="KGY41" s="240"/>
      <c r="KGZ41" s="239"/>
      <c r="KHA41" s="240"/>
      <c r="KHB41" s="239"/>
      <c r="KHC41" s="240"/>
      <c r="KHD41" s="239"/>
      <c r="KHE41" s="240"/>
      <c r="KHF41" s="239"/>
      <c r="KHG41" s="240"/>
      <c r="KHH41" s="239"/>
      <c r="KHI41" s="240"/>
      <c r="KHJ41" s="239"/>
      <c r="KHK41" s="240"/>
      <c r="KHL41" s="239"/>
      <c r="KHM41" s="240"/>
      <c r="KHN41" s="239"/>
      <c r="KHO41" s="240"/>
      <c r="KHP41" s="239"/>
      <c r="KHQ41" s="240"/>
      <c r="KHR41" s="239"/>
      <c r="KHS41" s="240"/>
      <c r="KHT41" s="239"/>
      <c r="KHU41" s="240"/>
      <c r="KHV41" s="239"/>
      <c r="KHW41" s="240"/>
      <c r="KHX41" s="239"/>
      <c r="KHY41" s="240"/>
      <c r="KHZ41" s="239"/>
      <c r="KIA41" s="240"/>
      <c r="KIB41" s="239"/>
      <c r="KIC41" s="240"/>
      <c r="KID41" s="239"/>
      <c r="KIE41" s="240"/>
      <c r="KIF41" s="239"/>
      <c r="KIG41" s="240"/>
      <c r="KIH41" s="239"/>
      <c r="KII41" s="240"/>
      <c r="KIJ41" s="239"/>
      <c r="KIK41" s="240"/>
      <c r="KIL41" s="239"/>
      <c r="KIM41" s="240"/>
      <c r="KIN41" s="239"/>
      <c r="KIO41" s="240"/>
      <c r="KIP41" s="239"/>
      <c r="KIQ41" s="240"/>
      <c r="KIR41" s="239"/>
      <c r="KIS41" s="240"/>
      <c r="KIT41" s="239"/>
      <c r="KIU41" s="240"/>
      <c r="KIV41" s="239"/>
      <c r="KIW41" s="240"/>
      <c r="KIX41" s="239"/>
      <c r="KIY41" s="240"/>
      <c r="KIZ41" s="239"/>
      <c r="KJA41" s="240"/>
      <c r="KJB41" s="239"/>
      <c r="KJC41" s="240"/>
      <c r="KJD41" s="239"/>
      <c r="KJE41" s="240"/>
      <c r="KJF41" s="239"/>
      <c r="KJG41" s="240"/>
      <c r="KJH41" s="239"/>
      <c r="KJI41" s="240"/>
      <c r="KJJ41" s="239"/>
      <c r="KJK41" s="240"/>
      <c r="KJL41" s="239"/>
      <c r="KJM41" s="240"/>
      <c r="KJN41" s="239"/>
      <c r="KJO41" s="240"/>
      <c r="KJP41" s="239"/>
      <c r="KJQ41" s="240"/>
      <c r="KJR41" s="239"/>
      <c r="KJS41" s="240"/>
      <c r="KJT41" s="239"/>
      <c r="KJU41" s="240"/>
      <c r="KJV41" s="239"/>
      <c r="KJW41" s="240"/>
      <c r="KJX41" s="239"/>
      <c r="KJY41" s="240"/>
      <c r="KJZ41" s="239"/>
      <c r="KKA41" s="240"/>
      <c r="KKB41" s="239"/>
      <c r="KKC41" s="240"/>
      <c r="KKD41" s="239"/>
      <c r="KKE41" s="240"/>
      <c r="KKF41" s="239"/>
      <c r="KKG41" s="240"/>
      <c r="KKH41" s="239"/>
      <c r="KKI41" s="240"/>
      <c r="KKJ41" s="239"/>
      <c r="KKK41" s="240"/>
      <c r="KKL41" s="239"/>
      <c r="KKM41" s="240"/>
      <c r="KKN41" s="239"/>
      <c r="KKO41" s="240"/>
      <c r="KKP41" s="239"/>
      <c r="KKQ41" s="240"/>
      <c r="KKR41" s="239"/>
      <c r="KKS41" s="240"/>
      <c r="KKT41" s="239"/>
      <c r="KKU41" s="240"/>
      <c r="KKV41" s="239"/>
      <c r="KKW41" s="240"/>
      <c r="KKX41" s="239"/>
      <c r="KKY41" s="240"/>
      <c r="KKZ41" s="239"/>
      <c r="KLA41" s="240"/>
      <c r="KLB41" s="239"/>
      <c r="KLC41" s="240"/>
      <c r="KLD41" s="239"/>
      <c r="KLE41" s="240"/>
      <c r="KLF41" s="239"/>
      <c r="KLG41" s="240"/>
      <c r="KLH41" s="239"/>
      <c r="KLI41" s="240"/>
      <c r="KLJ41" s="239"/>
      <c r="KLK41" s="240"/>
      <c r="KLL41" s="239"/>
      <c r="KLM41" s="240"/>
      <c r="KLN41" s="239"/>
      <c r="KLO41" s="240"/>
      <c r="KLP41" s="239"/>
      <c r="KLQ41" s="240"/>
      <c r="KLR41" s="239"/>
      <c r="KLS41" s="240"/>
      <c r="KLT41" s="239"/>
      <c r="KLU41" s="240"/>
      <c r="KLV41" s="239"/>
      <c r="KLW41" s="240"/>
      <c r="KLX41" s="239"/>
      <c r="KLY41" s="240"/>
      <c r="KLZ41" s="239"/>
      <c r="KMA41" s="240"/>
      <c r="KMB41" s="239"/>
      <c r="KMC41" s="240"/>
      <c r="KMD41" s="239"/>
      <c r="KME41" s="240"/>
      <c r="KMF41" s="239"/>
      <c r="KMG41" s="240"/>
      <c r="KMH41" s="239"/>
      <c r="KMI41" s="240"/>
      <c r="KMJ41" s="239"/>
      <c r="KMK41" s="240"/>
      <c r="KML41" s="239"/>
      <c r="KMM41" s="240"/>
      <c r="KMN41" s="239"/>
      <c r="KMO41" s="240"/>
      <c r="KMP41" s="239"/>
      <c r="KMQ41" s="240"/>
      <c r="KMR41" s="239"/>
      <c r="KMS41" s="240"/>
      <c r="KMT41" s="239"/>
      <c r="KMU41" s="240"/>
      <c r="KMV41" s="239"/>
      <c r="KMW41" s="240"/>
      <c r="KMX41" s="239"/>
      <c r="KMY41" s="240"/>
      <c r="KMZ41" s="239"/>
      <c r="KNA41" s="240"/>
      <c r="KNB41" s="239"/>
      <c r="KNC41" s="240"/>
      <c r="KND41" s="239"/>
      <c r="KNE41" s="240"/>
      <c r="KNF41" s="239"/>
      <c r="KNG41" s="240"/>
      <c r="KNH41" s="239"/>
      <c r="KNI41" s="240"/>
      <c r="KNJ41" s="239"/>
      <c r="KNK41" s="240"/>
      <c r="KNL41" s="239"/>
      <c r="KNM41" s="240"/>
      <c r="KNN41" s="239"/>
      <c r="KNO41" s="240"/>
      <c r="KNP41" s="239"/>
      <c r="KNQ41" s="240"/>
      <c r="KNR41" s="239"/>
      <c r="KNS41" s="240"/>
      <c r="KNT41" s="239"/>
      <c r="KNU41" s="240"/>
      <c r="KNV41" s="239"/>
      <c r="KNW41" s="240"/>
      <c r="KNX41" s="239"/>
      <c r="KNY41" s="240"/>
      <c r="KNZ41" s="239"/>
      <c r="KOA41" s="240"/>
      <c r="KOB41" s="239"/>
      <c r="KOC41" s="240"/>
      <c r="KOD41" s="239"/>
      <c r="KOE41" s="240"/>
      <c r="KOF41" s="239"/>
      <c r="KOG41" s="240"/>
      <c r="KOH41" s="239"/>
      <c r="KOI41" s="240"/>
      <c r="KOJ41" s="239"/>
      <c r="KOK41" s="240"/>
      <c r="KOL41" s="239"/>
      <c r="KOM41" s="240"/>
      <c r="KON41" s="239"/>
      <c r="KOO41" s="240"/>
      <c r="KOP41" s="239"/>
      <c r="KOQ41" s="240"/>
      <c r="KOR41" s="239"/>
      <c r="KOS41" s="240"/>
      <c r="KOT41" s="239"/>
      <c r="KOU41" s="240"/>
      <c r="KOV41" s="239"/>
      <c r="KOW41" s="240"/>
      <c r="KOX41" s="239"/>
      <c r="KOY41" s="240"/>
      <c r="KOZ41" s="239"/>
      <c r="KPA41" s="240"/>
      <c r="KPB41" s="239"/>
      <c r="KPC41" s="240"/>
      <c r="KPD41" s="239"/>
      <c r="KPE41" s="240"/>
      <c r="KPF41" s="239"/>
      <c r="KPG41" s="240"/>
      <c r="KPH41" s="239"/>
      <c r="KPI41" s="240"/>
      <c r="KPJ41" s="239"/>
      <c r="KPK41" s="240"/>
      <c r="KPL41" s="239"/>
      <c r="KPM41" s="240"/>
      <c r="KPN41" s="239"/>
      <c r="KPO41" s="240"/>
      <c r="KPP41" s="239"/>
      <c r="KPQ41" s="240"/>
      <c r="KPR41" s="239"/>
      <c r="KPS41" s="240"/>
      <c r="KPT41" s="239"/>
      <c r="KPU41" s="240"/>
      <c r="KPV41" s="239"/>
      <c r="KPW41" s="240"/>
      <c r="KPX41" s="239"/>
      <c r="KPY41" s="240"/>
      <c r="KPZ41" s="239"/>
      <c r="KQA41" s="240"/>
      <c r="KQB41" s="239"/>
      <c r="KQC41" s="240"/>
      <c r="KQD41" s="239"/>
      <c r="KQE41" s="240"/>
      <c r="KQF41" s="239"/>
      <c r="KQG41" s="240"/>
      <c r="KQH41" s="239"/>
      <c r="KQI41" s="240"/>
      <c r="KQJ41" s="239"/>
      <c r="KQK41" s="240"/>
      <c r="KQL41" s="239"/>
      <c r="KQM41" s="240"/>
      <c r="KQN41" s="239"/>
      <c r="KQO41" s="240"/>
      <c r="KQP41" s="239"/>
      <c r="KQQ41" s="240"/>
      <c r="KQR41" s="239"/>
      <c r="KQS41" s="240"/>
      <c r="KQT41" s="239"/>
      <c r="KQU41" s="240"/>
      <c r="KQV41" s="239"/>
      <c r="KQW41" s="240"/>
      <c r="KQX41" s="239"/>
      <c r="KQY41" s="240"/>
      <c r="KQZ41" s="239"/>
      <c r="KRA41" s="240"/>
      <c r="KRB41" s="239"/>
      <c r="KRC41" s="240"/>
      <c r="KRD41" s="239"/>
      <c r="KRE41" s="240"/>
      <c r="KRF41" s="239"/>
      <c r="KRG41" s="240"/>
      <c r="KRH41" s="239"/>
      <c r="KRI41" s="240"/>
      <c r="KRJ41" s="239"/>
      <c r="KRK41" s="240"/>
      <c r="KRL41" s="239"/>
      <c r="KRM41" s="240"/>
      <c r="KRN41" s="239"/>
      <c r="KRO41" s="240"/>
      <c r="KRP41" s="239"/>
      <c r="KRQ41" s="240"/>
      <c r="KRR41" s="239"/>
      <c r="KRS41" s="240"/>
      <c r="KRT41" s="239"/>
      <c r="KRU41" s="240"/>
      <c r="KRV41" s="239"/>
      <c r="KRW41" s="240"/>
      <c r="KRX41" s="239"/>
      <c r="KRY41" s="240"/>
      <c r="KRZ41" s="239"/>
      <c r="KSA41" s="240"/>
      <c r="KSB41" s="239"/>
      <c r="KSC41" s="240"/>
      <c r="KSD41" s="239"/>
      <c r="KSE41" s="240"/>
      <c r="KSF41" s="239"/>
      <c r="KSG41" s="240"/>
      <c r="KSH41" s="239"/>
      <c r="KSI41" s="240"/>
      <c r="KSJ41" s="239"/>
      <c r="KSK41" s="240"/>
      <c r="KSL41" s="239"/>
      <c r="KSM41" s="240"/>
      <c r="KSN41" s="239"/>
      <c r="KSO41" s="240"/>
      <c r="KSP41" s="239"/>
      <c r="KSQ41" s="240"/>
      <c r="KSR41" s="239"/>
      <c r="KSS41" s="240"/>
      <c r="KST41" s="239"/>
      <c r="KSU41" s="240"/>
      <c r="KSV41" s="239"/>
      <c r="KSW41" s="240"/>
      <c r="KSX41" s="239"/>
      <c r="KSY41" s="240"/>
      <c r="KSZ41" s="239"/>
      <c r="KTA41" s="240"/>
      <c r="KTB41" s="239"/>
      <c r="KTC41" s="240"/>
      <c r="KTD41" s="239"/>
      <c r="KTE41" s="240"/>
      <c r="KTF41" s="239"/>
      <c r="KTG41" s="240"/>
      <c r="KTH41" s="239"/>
      <c r="KTI41" s="240"/>
      <c r="KTJ41" s="239"/>
      <c r="KTK41" s="240"/>
      <c r="KTL41" s="239"/>
      <c r="KTM41" s="240"/>
      <c r="KTN41" s="239"/>
      <c r="KTO41" s="240"/>
      <c r="KTP41" s="239"/>
      <c r="KTQ41" s="240"/>
      <c r="KTR41" s="239"/>
      <c r="KTS41" s="240"/>
      <c r="KTT41" s="239"/>
      <c r="KTU41" s="240"/>
      <c r="KTV41" s="239"/>
      <c r="KTW41" s="240"/>
      <c r="KTX41" s="239"/>
      <c r="KTY41" s="240"/>
      <c r="KTZ41" s="239"/>
      <c r="KUA41" s="240"/>
      <c r="KUB41" s="239"/>
      <c r="KUC41" s="240"/>
      <c r="KUD41" s="239"/>
      <c r="KUE41" s="240"/>
      <c r="KUF41" s="239"/>
      <c r="KUG41" s="240"/>
      <c r="KUH41" s="239"/>
      <c r="KUI41" s="240"/>
      <c r="KUJ41" s="239"/>
      <c r="KUK41" s="240"/>
      <c r="KUL41" s="239"/>
      <c r="KUM41" s="240"/>
      <c r="KUN41" s="239"/>
      <c r="KUO41" s="240"/>
      <c r="KUP41" s="239"/>
      <c r="KUQ41" s="240"/>
      <c r="KUR41" s="239"/>
      <c r="KUS41" s="240"/>
      <c r="KUT41" s="239"/>
      <c r="KUU41" s="240"/>
      <c r="KUV41" s="239"/>
      <c r="KUW41" s="240"/>
      <c r="KUX41" s="239"/>
      <c r="KUY41" s="240"/>
      <c r="KUZ41" s="239"/>
      <c r="KVA41" s="240"/>
      <c r="KVB41" s="239"/>
      <c r="KVC41" s="240"/>
      <c r="KVD41" s="239"/>
      <c r="KVE41" s="240"/>
      <c r="KVF41" s="239"/>
      <c r="KVG41" s="240"/>
      <c r="KVH41" s="239"/>
      <c r="KVI41" s="240"/>
      <c r="KVJ41" s="239"/>
      <c r="KVK41" s="240"/>
      <c r="KVL41" s="239"/>
      <c r="KVM41" s="240"/>
      <c r="KVN41" s="239"/>
      <c r="KVO41" s="240"/>
      <c r="KVP41" s="239"/>
      <c r="KVQ41" s="240"/>
      <c r="KVR41" s="239"/>
      <c r="KVS41" s="240"/>
      <c r="KVT41" s="239"/>
      <c r="KVU41" s="240"/>
      <c r="KVV41" s="239"/>
      <c r="KVW41" s="240"/>
      <c r="KVX41" s="239"/>
      <c r="KVY41" s="240"/>
      <c r="KVZ41" s="239"/>
      <c r="KWA41" s="240"/>
      <c r="KWB41" s="239"/>
      <c r="KWC41" s="240"/>
      <c r="KWD41" s="239"/>
      <c r="KWE41" s="240"/>
      <c r="KWF41" s="239"/>
      <c r="KWG41" s="240"/>
      <c r="KWH41" s="239"/>
      <c r="KWI41" s="240"/>
      <c r="KWJ41" s="239"/>
      <c r="KWK41" s="240"/>
      <c r="KWL41" s="239"/>
      <c r="KWM41" s="240"/>
      <c r="KWN41" s="239"/>
      <c r="KWO41" s="240"/>
      <c r="KWP41" s="239"/>
      <c r="KWQ41" s="240"/>
      <c r="KWR41" s="239"/>
      <c r="KWS41" s="240"/>
      <c r="KWT41" s="239"/>
      <c r="KWU41" s="240"/>
      <c r="KWV41" s="239"/>
      <c r="KWW41" s="240"/>
      <c r="KWX41" s="239"/>
      <c r="KWY41" s="240"/>
      <c r="KWZ41" s="239"/>
      <c r="KXA41" s="240"/>
      <c r="KXB41" s="239"/>
      <c r="KXC41" s="240"/>
      <c r="KXD41" s="239"/>
      <c r="KXE41" s="240"/>
      <c r="KXF41" s="239"/>
      <c r="KXG41" s="240"/>
      <c r="KXH41" s="239"/>
      <c r="KXI41" s="240"/>
      <c r="KXJ41" s="239"/>
      <c r="KXK41" s="240"/>
      <c r="KXL41" s="239"/>
      <c r="KXM41" s="240"/>
      <c r="KXN41" s="239"/>
      <c r="KXO41" s="240"/>
      <c r="KXP41" s="239"/>
      <c r="KXQ41" s="240"/>
      <c r="KXR41" s="239"/>
      <c r="KXS41" s="240"/>
      <c r="KXT41" s="239"/>
      <c r="KXU41" s="240"/>
      <c r="KXV41" s="239"/>
      <c r="KXW41" s="240"/>
      <c r="KXX41" s="239"/>
      <c r="KXY41" s="240"/>
      <c r="KXZ41" s="239"/>
      <c r="KYA41" s="240"/>
      <c r="KYB41" s="239"/>
      <c r="KYC41" s="240"/>
      <c r="KYD41" s="239"/>
      <c r="KYE41" s="240"/>
      <c r="KYF41" s="239"/>
      <c r="KYG41" s="240"/>
      <c r="KYH41" s="239"/>
      <c r="KYI41" s="240"/>
      <c r="KYJ41" s="239"/>
      <c r="KYK41" s="240"/>
      <c r="KYL41" s="239"/>
      <c r="KYM41" s="240"/>
      <c r="KYN41" s="239"/>
      <c r="KYO41" s="240"/>
      <c r="KYP41" s="239"/>
      <c r="KYQ41" s="240"/>
      <c r="KYR41" s="239"/>
      <c r="KYS41" s="240"/>
      <c r="KYT41" s="239"/>
      <c r="KYU41" s="240"/>
      <c r="KYV41" s="239"/>
      <c r="KYW41" s="240"/>
      <c r="KYX41" s="239"/>
      <c r="KYY41" s="240"/>
      <c r="KYZ41" s="239"/>
      <c r="KZA41" s="240"/>
      <c r="KZB41" s="239"/>
      <c r="KZC41" s="240"/>
      <c r="KZD41" s="239"/>
      <c r="KZE41" s="240"/>
      <c r="KZF41" s="239"/>
      <c r="KZG41" s="240"/>
      <c r="KZH41" s="239"/>
      <c r="KZI41" s="240"/>
      <c r="KZJ41" s="239"/>
      <c r="KZK41" s="240"/>
      <c r="KZL41" s="239"/>
      <c r="KZM41" s="240"/>
      <c r="KZN41" s="239"/>
      <c r="KZO41" s="240"/>
      <c r="KZP41" s="239"/>
      <c r="KZQ41" s="240"/>
      <c r="KZR41" s="239"/>
      <c r="KZS41" s="240"/>
      <c r="KZT41" s="239"/>
      <c r="KZU41" s="240"/>
      <c r="KZV41" s="239"/>
      <c r="KZW41" s="240"/>
      <c r="KZX41" s="239"/>
      <c r="KZY41" s="240"/>
      <c r="KZZ41" s="239"/>
      <c r="LAA41" s="240"/>
      <c r="LAB41" s="239"/>
      <c r="LAC41" s="240"/>
      <c r="LAD41" s="239"/>
      <c r="LAE41" s="240"/>
      <c r="LAF41" s="239"/>
      <c r="LAG41" s="240"/>
      <c r="LAH41" s="239"/>
      <c r="LAI41" s="240"/>
      <c r="LAJ41" s="239"/>
      <c r="LAK41" s="240"/>
      <c r="LAL41" s="239"/>
      <c r="LAM41" s="240"/>
      <c r="LAN41" s="239"/>
      <c r="LAO41" s="240"/>
      <c r="LAP41" s="239"/>
      <c r="LAQ41" s="240"/>
      <c r="LAR41" s="239"/>
      <c r="LAS41" s="240"/>
      <c r="LAT41" s="239"/>
      <c r="LAU41" s="240"/>
      <c r="LAV41" s="239"/>
      <c r="LAW41" s="240"/>
      <c r="LAX41" s="239"/>
      <c r="LAY41" s="240"/>
      <c r="LAZ41" s="239"/>
      <c r="LBA41" s="240"/>
      <c r="LBB41" s="239"/>
      <c r="LBC41" s="240"/>
      <c r="LBD41" s="239"/>
      <c r="LBE41" s="240"/>
      <c r="LBF41" s="239"/>
      <c r="LBG41" s="240"/>
      <c r="LBH41" s="239"/>
      <c r="LBI41" s="240"/>
      <c r="LBJ41" s="239"/>
      <c r="LBK41" s="240"/>
      <c r="LBL41" s="239"/>
      <c r="LBM41" s="240"/>
      <c r="LBN41" s="239"/>
      <c r="LBO41" s="240"/>
      <c r="LBP41" s="239"/>
      <c r="LBQ41" s="240"/>
      <c r="LBR41" s="239"/>
      <c r="LBS41" s="240"/>
      <c r="LBT41" s="239"/>
      <c r="LBU41" s="240"/>
      <c r="LBV41" s="239"/>
      <c r="LBW41" s="240"/>
      <c r="LBX41" s="239"/>
      <c r="LBY41" s="240"/>
      <c r="LBZ41" s="239"/>
      <c r="LCA41" s="240"/>
      <c r="LCB41" s="239"/>
      <c r="LCC41" s="240"/>
      <c r="LCD41" s="239"/>
      <c r="LCE41" s="240"/>
      <c r="LCF41" s="239"/>
      <c r="LCG41" s="240"/>
      <c r="LCH41" s="239"/>
      <c r="LCI41" s="240"/>
      <c r="LCJ41" s="239"/>
      <c r="LCK41" s="240"/>
      <c r="LCL41" s="239"/>
      <c r="LCM41" s="240"/>
      <c r="LCN41" s="239"/>
      <c r="LCO41" s="240"/>
      <c r="LCP41" s="239"/>
      <c r="LCQ41" s="240"/>
      <c r="LCR41" s="239"/>
      <c r="LCS41" s="240"/>
      <c r="LCT41" s="239"/>
      <c r="LCU41" s="240"/>
      <c r="LCV41" s="239"/>
      <c r="LCW41" s="240"/>
      <c r="LCX41" s="239"/>
      <c r="LCY41" s="240"/>
      <c r="LCZ41" s="239"/>
      <c r="LDA41" s="240"/>
      <c r="LDB41" s="239"/>
      <c r="LDC41" s="240"/>
      <c r="LDD41" s="239"/>
      <c r="LDE41" s="240"/>
      <c r="LDF41" s="239"/>
      <c r="LDG41" s="240"/>
      <c r="LDH41" s="239"/>
      <c r="LDI41" s="240"/>
      <c r="LDJ41" s="239"/>
      <c r="LDK41" s="240"/>
      <c r="LDL41" s="239"/>
      <c r="LDM41" s="240"/>
      <c r="LDN41" s="239"/>
      <c r="LDO41" s="240"/>
      <c r="LDP41" s="239"/>
      <c r="LDQ41" s="240"/>
      <c r="LDR41" s="239"/>
      <c r="LDS41" s="240"/>
      <c r="LDT41" s="239"/>
      <c r="LDU41" s="240"/>
      <c r="LDV41" s="239"/>
      <c r="LDW41" s="240"/>
      <c r="LDX41" s="239"/>
      <c r="LDY41" s="240"/>
      <c r="LDZ41" s="239"/>
      <c r="LEA41" s="240"/>
      <c r="LEB41" s="239"/>
      <c r="LEC41" s="240"/>
      <c r="LED41" s="239"/>
      <c r="LEE41" s="240"/>
      <c r="LEF41" s="239"/>
      <c r="LEG41" s="240"/>
      <c r="LEH41" s="239"/>
      <c r="LEI41" s="240"/>
      <c r="LEJ41" s="239"/>
      <c r="LEK41" s="240"/>
      <c r="LEL41" s="239"/>
      <c r="LEM41" s="240"/>
      <c r="LEN41" s="239"/>
      <c r="LEO41" s="240"/>
      <c r="LEP41" s="239"/>
      <c r="LEQ41" s="240"/>
      <c r="LER41" s="239"/>
      <c r="LES41" s="240"/>
      <c r="LET41" s="239"/>
      <c r="LEU41" s="240"/>
      <c r="LEV41" s="239"/>
      <c r="LEW41" s="240"/>
      <c r="LEX41" s="239"/>
      <c r="LEY41" s="240"/>
      <c r="LEZ41" s="239"/>
      <c r="LFA41" s="240"/>
      <c r="LFB41" s="239"/>
      <c r="LFC41" s="240"/>
      <c r="LFD41" s="239"/>
      <c r="LFE41" s="240"/>
      <c r="LFF41" s="239"/>
      <c r="LFG41" s="240"/>
      <c r="LFH41" s="239"/>
      <c r="LFI41" s="240"/>
      <c r="LFJ41" s="239"/>
      <c r="LFK41" s="240"/>
      <c r="LFL41" s="239"/>
      <c r="LFM41" s="240"/>
      <c r="LFN41" s="239"/>
      <c r="LFO41" s="240"/>
      <c r="LFP41" s="239"/>
      <c r="LFQ41" s="240"/>
      <c r="LFR41" s="239"/>
      <c r="LFS41" s="240"/>
      <c r="LFT41" s="239"/>
      <c r="LFU41" s="240"/>
      <c r="LFV41" s="239"/>
      <c r="LFW41" s="240"/>
      <c r="LFX41" s="239"/>
      <c r="LFY41" s="240"/>
      <c r="LFZ41" s="239"/>
      <c r="LGA41" s="240"/>
      <c r="LGB41" s="239"/>
      <c r="LGC41" s="240"/>
      <c r="LGD41" s="239"/>
      <c r="LGE41" s="240"/>
      <c r="LGF41" s="239"/>
      <c r="LGG41" s="240"/>
      <c r="LGH41" s="239"/>
      <c r="LGI41" s="240"/>
      <c r="LGJ41" s="239"/>
      <c r="LGK41" s="240"/>
      <c r="LGL41" s="239"/>
      <c r="LGM41" s="240"/>
      <c r="LGN41" s="239"/>
      <c r="LGO41" s="240"/>
      <c r="LGP41" s="239"/>
      <c r="LGQ41" s="240"/>
      <c r="LGR41" s="239"/>
      <c r="LGS41" s="240"/>
      <c r="LGT41" s="239"/>
      <c r="LGU41" s="240"/>
      <c r="LGV41" s="239"/>
      <c r="LGW41" s="240"/>
      <c r="LGX41" s="239"/>
      <c r="LGY41" s="240"/>
      <c r="LGZ41" s="239"/>
      <c r="LHA41" s="240"/>
      <c r="LHB41" s="239"/>
      <c r="LHC41" s="240"/>
      <c r="LHD41" s="239"/>
      <c r="LHE41" s="240"/>
      <c r="LHF41" s="239"/>
      <c r="LHG41" s="240"/>
      <c r="LHH41" s="239"/>
      <c r="LHI41" s="240"/>
      <c r="LHJ41" s="239"/>
      <c r="LHK41" s="240"/>
      <c r="LHL41" s="239"/>
      <c r="LHM41" s="240"/>
      <c r="LHN41" s="239"/>
      <c r="LHO41" s="240"/>
      <c r="LHP41" s="239"/>
      <c r="LHQ41" s="240"/>
      <c r="LHR41" s="239"/>
      <c r="LHS41" s="240"/>
      <c r="LHT41" s="239"/>
      <c r="LHU41" s="240"/>
      <c r="LHV41" s="239"/>
      <c r="LHW41" s="240"/>
      <c r="LHX41" s="239"/>
      <c r="LHY41" s="240"/>
      <c r="LHZ41" s="239"/>
      <c r="LIA41" s="240"/>
      <c r="LIB41" s="239"/>
      <c r="LIC41" s="240"/>
      <c r="LID41" s="239"/>
      <c r="LIE41" s="240"/>
      <c r="LIF41" s="239"/>
      <c r="LIG41" s="240"/>
      <c r="LIH41" s="239"/>
      <c r="LII41" s="240"/>
      <c r="LIJ41" s="239"/>
      <c r="LIK41" s="240"/>
      <c r="LIL41" s="239"/>
      <c r="LIM41" s="240"/>
      <c r="LIN41" s="239"/>
      <c r="LIO41" s="240"/>
      <c r="LIP41" s="239"/>
      <c r="LIQ41" s="240"/>
      <c r="LIR41" s="239"/>
      <c r="LIS41" s="240"/>
      <c r="LIT41" s="239"/>
      <c r="LIU41" s="240"/>
      <c r="LIV41" s="239"/>
      <c r="LIW41" s="240"/>
      <c r="LIX41" s="239"/>
      <c r="LIY41" s="240"/>
      <c r="LIZ41" s="239"/>
      <c r="LJA41" s="240"/>
      <c r="LJB41" s="239"/>
      <c r="LJC41" s="240"/>
      <c r="LJD41" s="239"/>
      <c r="LJE41" s="240"/>
      <c r="LJF41" s="239"/>
      <c r="LJG41" s="240"/>
      <c r="LJH41" s="239"/>
      <c r="LJI41" s="240"/>
      <c r="LJJ41" s="239"/>
      <c r="LJK41" s="240"/>
      <c r="LJL41" s="239"/>
      <c r="LJM41" s="240"/>
      <c r="LJN41" s="239"/>
      <c r="LJO41" s="240"/>
      <c r="LJP41" s="239"/>
      <c r="LJQ41" s="240"/>
      <c r="LJR41" s="239"/>
      <c r="LJS41" s="240"/>
      <c r="LJT41" s="239"/>
      <c r="LJU41" s="240"/>
      <c r="LJV41" s="239"/>
      <c r="LJW41" s="240"/>
      <c r="LJX41" s="239"/>
      <c r="LJY41" s="240"/>
      <c r="LJZ41" s="239"/>
      <c r="LKA41" s="240"/>
      <c r="LKB41" s="239"/>
      <c r="LKC41" s="240"/>
      <c r="LKD41" s="239"/>
      <c r="LKE41" s="240"/>
      <c r="LKF41" s="239"/>
      <c r="LKG41" s="240"/>
      <c r="LKH41" s="239"/>
      <c r="LKI41" s="240"/>
      <c r="LKJ41" s="239"/>
      <c r="LKK41" s="240"/>
      <c r="LKL41" s="239"/>
      <c r="LKM41" s="240"/>
      <c r="LKN41" s="239"/>
      <c r="LKO41" s="240"/>
      <c r="LKP41" s="239"/>
      <c r="LKQ41" s="240"/>
      <c r="LKR41" s="239"/>
      <c r="LKS41" s="240"/>
      <c r="LKT41" s="239"/>
      <c r="LKU41" s="240"/>
      <c r="LKV41" s="239"/>
      <c r="LKW41" s="240"/>
      <c r="LKX41" s="239"/>
      <c r="LKY41" s="240"/>
      <c r="LKZ41" s="239"/>
      <c r="LLA41" s="240"/>
      <c r="LLB41" s="239"/>
      <c r="LLC41" s="240"/>
      <c r="LLD41" s="239"/>
      <c r="LLE41" s="240"/>
      <c r="LLF41" s="239"/>
      <c r="LLG41" s="240"/>
      <c r="LLH41" s="239"/>
      <c r="LLI41" s="240"/>
      <c r="LLJ41" s="239"/>
      <c r="LLK41" s="240"/>
      <c r="LLL41" s="239"/>
      <c r="LLM41" s="240"/>
      <c r="LLN41" s="239"/>
      <c r="LLO41" s="240"/>
      <c r="LLP41" s="239"/>
      <c r="LLQ41" s="240"/>
      <c r="LLR41" s="239"/>
      <c r="LLS41" s="240"/>
      <c r="LLT41" s="239"/>
      <c r="LLU41" s="240"/>
      <c r="LLV41" s="239"/>
      <c r="LLW41" s="240"/>
      <c r="LLX41" s="239"/>
      <c r="LLY41" s="240"/>
      <c r="LLZ41" s="239"/>
      <c r="LMA41" s="240"/>
      <c r="LMB41" s="239"/>
      <c r="LMC41" s="240"/>
      <c r="LMD41" s="239"/>
      <c r="LME41" s="240"/>
      <c r="LMF41" s="239"/>
      <c r="LMG41" s="240"/>
      <c r="LMH41" s="239"/>
      <c r="LMI41" s="240"/>
      <c r="LMJ41" s="239"/>
      <c r="LMK41" s="240"/>
      <c r="LML41" s="239"/>
      <c r="LMM41" s="240"/>
      <c r="LMN41" s="239"/>
      <c r="LMO41" s="240"/>
      <c r="LMP41" s="239"/>
      <c r="LMQ41" s="240"/>
      <c r="LMR41" s="239"/>
      <c r="LMS41" s="240"/>
      <c r="LMT41" s="239"/>
      <c r="LMU41" s="240"/>
      <c r="LMV41" s="239"/>
      <c r="LMW41" s="240"/>
      <c r="LMX41" s="239"/>
      <c r="LMY41" s="240"/>
      <c r="LMZ41" s="239"/>
      <c r="LNA41" s="240"/>
      <c r="LNB41" s="239"/>
      <c r="LNC41" s="240"/>
      <c r="LND41" s="239"/>
      <c r="LNE41" s="240"/>
      <c r="LNF41" s="239"/>
      <c r="LNG41" s="240"/>
      <c r="LNH41" s="239"/>
      <c r="LNI41" s="240"/>
      <c r="LNJ41" s="239"/>
      <c r="LNK41" s="240"/>
      <c r="LNL41" s="239"/>
      <c r="LNM41" s="240"/>
      <c r="LNN41" s="239"/>
      <c r="LNO41" s="240"/>
      <c r="LNP41" s="239"/>
      <c r="LNQ41" s="240"/>
      <c r="LNR41" s="239"/>
      <c r="LNS41" s="240"/>
      <c r="LNT41" s="239"/>
      <c r="LNU41" s="240"/>
      <c r="LNV41" s="239"/>
      <c r="LNW41" s="240"/>
      <c r="LNX41" s="239"/>
      <c r="LNY41" s="240"/>
      <c r="LNZ41" s="239"/>
      <c r="LOA41" s="240"/>
      <c r="LOB41" s="239"/>
      <c r="LOC41" s="240"/>
      <c r="LOD41" s="239"/>
      <c r="LOE41" s="240"/>
      <c r="LOF41" s="239"/>
      <c r="LOG41" s="240"/>
      <c r="LOH41" s="239"/>
      <c r="LOI41" s="240"/>
      <c r="LOJ41" s="239"/>
      <c r="LOK41" s="240"/>
      <c r="LOL41" s="239"/>
      <c r="LOM41" s="240"/>
      <c r="LON41" s="239"/>
      <c r="LOO41" s="240"/>
      <c r="LOP41" s="239"/>
      <c r="LOQ41" s="240"/>
      <c r="LOR41" s="239"/>
      <c r="LOS41" s="240"/>
      <c r="LOT41" s="239"/>
      <c r="LOU41" s="240"/>
      <c r="LOV41" s="239"/>
      <c r="LOW41" s="240"/>
      <c r="LOX41" s="239"/>
      <c r="LOY41" s="240"/>
      <c r="LOZ41" s="239"/>
      <c r="LPA41" s="240"/>
      <c r="LPB41" s="239"/>
      <c r="LPC41" s="240"/>
      <c r="LPD41" s="239"/>
      <c r="LPE41" s="240"/>
      <c r="LPF41" s="239"/>
      <c r="LPG41" s="240"/>
      <c r="LPH41" s="239"/>
      <c r="LPI41" s="240"/>
      <c r="LPJ41" s="239"/>
      <c r="LPK41" s="240"/>
      <c r="LPL41" s="239"/>
      <c r="LPM41" s="240"/>
      <c r="LPN41" s="239"/>
      <c r="LPO41" s="240"/>
      <c r="LPP41" s="239"/>
      <c r="LPQ41" s="240"/>
      <c r="LPR41" s="239"/>
      <c r="LPS41" s="240"/>
      <c r="LPT41" s="239"/>
      <c r="LPU41" s="240"/>
      <c r="LPV41" s="239"/>
      <c r="LPW41" s="240"/>
      <c r="LPX41" s="239"/>
      <c r="LPY41" s="240"/>
      <c r="LPZ41" s="239"/>
      <c r="LQA41" s="240"/>
      <c r="LQB41" s="239"/>
      <c r="LQC41" s="240"/>
      <c r="LQD41" s="239"/>
      <c r="LQE41" s="240"/>
      <c r="LQF41" s="239"/>
      <c r="LQG41" s="240"/>
      <c r="LQH41" s="239"/>
      <c r="LQI41" s="240"/>
      <c r="LQJ41" s="239"/>
      <c r="LQK41" s="240"/>
      <c r="LQL41" s="239"/>
      <c r="LQM41" s="240"/>
      <c r="LQN41" s="239"/>
      <c r="LQO41" s="240"/>
      <c r="LQP41" s="239"/>
      <c r="LQQ41" s="240"/>
      <c r="LQR41" s="239"/>
      <c r="LQS41" s="240"/>
      <c r="LQT41" s="239"/>
      <c r="LQU41" s="240"/>
      <c r="LQV41" s="239"/>
      <c r="LQW41" s="240"/>
      <c r="LQX41" s="239"/>
      <c r="LQY41" s="240"/>
      <c r="LQZ41" s="239"/>
      <c r="LRA41" s="240"/>
      <c r="LRB41" s="239"/>
      <c r="LRC41" s="240"/>
      <c r="LRD41" s="239"/>
      <c r="LRE41" s="240"/>
      <c r="LRF41" s="239"/>
      <c r="LRG41" s="240"/>
      <c r="LRH41" s="239"/>
      <c r="LRI41" s="240"/>
      <c r="LRJ41" s="239"/>
      <c r="LRK41" s="240"/>
      <c r="LRL41" s="239"/>
      <c r="LRM41" s="240"/>
      <c r="LRN41" s="239"/>
      <c r="LRO41" s="240"/>
      <c r="LRP41" s="239"/>
      <c r="LRQ41" s="240"/>
      <c r="LRR41" s="239"/>
      <c r="LRS41" s="240"/>
      <c r="LRT41" s="239"/>
      <c r="LRU41" s="240"/>
      <c r="LRV41" s="239"/>
      <c r="LRW41" s="240"/>
      <c r="LRX41" s="239"/>
      <c r="LRY41" s="240"/>
      <c r="LRZ41" s="239"/>
      <c r="LSA41" s="240"/>
      <c r="LSB41" s="239"/>
      <c r="LSC41" s="240"/>
      <c r="LSD41" s="239"/>
      <c r="LSE41" s="240"/>
      <c r="LSF41" s="239"/>
      <c r="LSG41" s="240"/>
      <c r="LSH41" s="239"/>
      <c r="LSI41" s="240"/>
      <c r="LSJ41" s="239"/>
      <c r="LSK41" s="240"/>
      <c r="LSL41" s="239"/>
      <c r="LSM41" s="240"/>
      <c r="LSN41" s="239"/>
      <c r="LSO41" s="240"/>
      <c r="LSP41" s="239"/>
      <c r="LSQ41" s="240"/>
      <c r="LSR41" s="239"/>
      <c r="LSS41" s="240"/>
      <c r="LST41" s="239"/>
      <c r="LSU41" s="240"/>
      <c r="LSV41" s="239"/>
      <c r="LSW41" s="240"/>
      <c r="LSX41" s="239"/>
      <c r="LSY41" s="240"/>
      <c r="LSZ41" s="239"/>
      <c r="LTA41" s="240"/>
      <c r="LTB41" s="239"/>
      <c r="LTC41" s="240"/>
      <c r="LTD41" s="239"/>
      <c r="LTE41" s="240"/>
      <c r="LTF41" s="239"/>
      <c r="LTG41" s="240"/>
      <c r="LTH41" s="239"/>
      <c r="LTI41" s="240"/>
      <c r="LTJ41" s="239"/>
      <c r="LTK41" s="240"/>
      <c r="LTL41" s="239"/>
      <c r="LTM41" s="240"/>
      <c r="LTN41" s="239"/>
      <c r="LTO41" s="240"/>
      <c r="LTP41" s="239"/>
      <c r="LTQ41" s="240"/>
      <c r="LTR41" s="239"/>
      <c r="LTS41" s="240"/>
      <c r="LTT41" s="239"/>
      <c r="LTU41" s="240"/>
      <c r="LTV41" s="239"/>
      <c r="LTW41" s="240"/>
      <c r="LTX41" s="239"/>
      <c r="LTY41" s="240"/>
      <c r="LTZ41" s="239"/>
      <c r="LUA41" s="240"/>
      <c r="LUB41" s="239"/>
      <c r="LUC41" s="240"/>
      <c r="LUD41" s="239"/>
      <c r="LUE41" s="240"/>
      <c r="LUF41" s="239"/>
      <c r="LUG41" s="240"/>
      <c r="LUH41" s="239"/>
      <c r="LUI41" s="240"/>
      <c r="LUJ41" s="239"/>
      <c r="LUK41" s="240"/>
      <c r="LUL41" s="239"/>
      <c r="LUM41" s="240"/>
      <c r="LUN41" s="239"/>
      <c r="LUO41" s="240"/>
      <c r="LUP41" s="239"/>
      <c r="LUQ41" s="240"/>
      <c r="LUR41" s="239"/>
      <c r="LUS41" s="240"/>
      <c r="LUT41" s="239"/>
      <c r="LUU41" s="240"/>
      <c r="LUV41" s="239"/>
      <c r="LUW41" s="240"/>
      <c r="LUX41" s="239"/>
      <c r="LUY41" s="240"/>
      <c r="LUZ41" s="239"/>
      <c r="LVA41" s="240"/>
      <c r="LVB41" s="239"/>
      <c r="LVC41" s="240"/>
      <c r="LVD41" s="239"/>
      <c r="LVE41" s="240"/>
      <c r="LVF41" s="239"/>
      <c r="LVG41" s="240"/>
      <c r="LVH41" s="239"/>
      <c r="LVI41" s="240"/>
      <c r="LVJ41" s="239"/>
      <c r="LVK41" s="240"/>
      <c r="LVL41" s="239"/>
      <c r="LVM41" s="240"/>
      <c r="LVN41" s="239"/>
      <c r="LVO41" s="240"/>
      <c r="LVP41" s="239"/>
      <c r="LVQ41" s="240"/>
      <c r="LVR41" s="239"/>
      <c r="LVS41" s="240"/>
      <c r="LVT41" s="239"/>
      <c r="LVU41" s="240"/>
      <c r="LVV41" s="239"/>
      <c r="LVW41" s="240"/>
      <c r="LVX41" s="239"/>
      <c r="LVY41" s="240"/>
      <c r="LVZ41" s="239"/>
      <c r="LWA41" s="240"/>
      <c r="LWB41" s="239"/>
      <c r="LWC41" s="240"/>
      <c r="LWD41" s="239"/>
      <c r="LWE41" s="240"/>
      <c r="LWF41" s="239"/>
      <c r="LWG41" s="240"/>
      <c r="LWH41" s="239"/>
      <c r="LWI41" s="240"/>
      <c r="LWJ41" s="239"/>
      <c r="LWK41" s="240"/>
      <c r="LWL41" s="239"/>
      <c r="LWM41" s="240"/>
      <c r="LWN41" s="239"/>
      <c r="LWO41" s="240"/>
      <c r="LWP41" s="239"/>
      <c r="LWQ41" s="240"/>
      <c r="LWR41" s="239"/>
      <c r="LWS41" s="240"/>
      <c r="LWT41" s="239"/>
      <c r="LWU41" s="240"/>
      <c r="LWV41" s="239"/>
      <c r="LWW41" s="240"/>
      <c r="LWX41" s="239"/>
      <c r="LWY41" s="240"/>
      <c r="LWZ41" s="239"/>
      <c r="LXA41" s="240"/>
      <c r="LXB41" s="239"/>
      <c r="LXC41" s="240"/>
      <c r="LXD41" s="239"/>
      <c r="LXE41" s="240"/>
      <c r="LXF41" s="239"/>
      <c r="LXG41" s="240"/>
      <c r="LXH41" s="239"/>
      <c r="LXI41" s="240"/>
      <c r="LXJ41" s="239"/>
      <c r="LXK41" s="240"/>
      <c r="LXL41" s="239"/>
      <c r="LXM41" s="240"/>
      <c r="LXN41" s="239"/>
      <c r="LXO41" s="240"/>
      <c r="LXP41" s="239"/>
      <c r="LXQ41" s="240"/>
      <c r="LXR41" s="239"/>
      <c r="LXS41" s="240"/>
      <c r="LXT41" s="239"/>
      <c r="LXU41" s="240"/>
      <c r="LXV41" s="239"/>
      <c r="LXW41" s="240"/>
      <c r="LXX41" s="239"/>
      <c r="LXY41" s="240"/>
      <c r="LXZ41" s="239"/>
      <c r="LYA41" s="240"/>
      <c r="LYB41" s="239"/>
      <c r="LYC41" s="240"/>
      <c r="LYD41" s="239"/>
      <c r="LYE41" s="240"/>
      <c r="LYF41" s="239"/>
      <c r="LYG41" s="240"/>
      <c r="LYH41" s="239"/>
      <c r="LYI41" s="240"/>
      <c r="LYJ41" s="239"/>
      <c r="LYK41" s="240"/>
      <c r="LYL41" s="239"/>
      <c r="LYM41" s="240"/>
      <c r="LYN41" s="239"/>
      <c r="LYO41" s="240"/>
      <c r="LYP41" s="239"/>
      <c r="LYQ41" s="240"/>
      <c r="LYR41" s="239"/>
      <c r="LYS41" s="240"/>
      <c r="LYT41" s="239"/>
      <c r="LYU41" s="240"/>
      <c r="LYV41" s="239"/>
      <c r="LYW41" s="240"/>
      <c r="LYX41" s="239"/>
      <c r="LYY41" s="240"/>
      <c r="LYZ41" s="239"/>
      <c r="LZA41" s="240"/>
      <c r="LZB41" s="239"/>
      <c r="LZC41" s="240"/>
      <c r="LZD41" s="239"/>
      <c r="LZE41" s="240"/>
      <c r="LZF41" s="239"/>
      <c r="LZG41" s="240"/>
      <c r="LZH41" s="239"/>
      <c r="LZI41" s="240"/>
      <c r="LZJ41" s="239"/>
      <c r="LZK41" s="240"/>
      <c r="LZL41" s="239"/>
      <c r="LZM41" s="240"/>
      <c r="LZN41" s="239"/>
      <c r="LZO41" s="240"/>
      <c r="LZP41" s="239"/>
      <c r="LZQ41" s="240"/>
      <c r="LZR41" s="239"/>
      <c r="LZS41" s="240"/>
      <c r="LZT41" s="239"/>
      <c r="LZU41" s="240"/>
      <c r="LZV41" s="239"/>
      <c r="LZW41" s="240"/>
      <c r="LZX41" s="239"/>
      <c r="LZY41" s="240"/>
      <c r="LZZ41" s="239"/>
      <c r="MAA41" s="240"/>
      <c r="MAB41" s="239"/>
      <c r="MAC41" s="240"/>
      <c r="MAD41" s="239"/>
      <c r="MAE41" s="240"/>
      <c r="MAF41" s="239"/>
      <c r="MAG41" s="240"/>
      <c r="MAH41" s="239"/>
      <c r="MAI41" s="240"/>
      <c r="MAJ41" s="239"/>
      <c r="MAK41" s="240"/>
      <c r="MAL41" s="239"/>
      <c r="MAM41" s="240"/>
      <c r="MAN41" s="239"/>
      <c r="MAO41" s="240"/>
      <c r="MAP41" s="239"/>
      <c r="MAQ41" s="240"/>
      <c r="MAR41" s="239"/>
      <c r="MAS41" s="240"/>
      <c r="MAT41" s="239"/>
      <c r="MAU41" s="240"/>
      <c r="MAV41" s="239"/>
      <c r="MAW41" s="240"/>
      <c r="MAX41" s="239"/>
      <c r="MAY41" s="240"/>
      <c r="MAZ41" s="239"/>
      <c r="MBA41" s="240"/>
      <c r="MBB41" s="239"/>
      <c r="MBC41" s="240"/>
      <c r="MBD41" s="239"/>
      <c r="MBE41" s="240"/>
      <c r="MBF41" s="239"/>
      <c r="MBG41" s="240"/>
      <c r="MBH41" s="239"/>
      <c r="MBI41" s="240"/>
      <c r="MBJ41" s="239"/>
      <c r="MBK41" s="240"/>
      <c r="MBL41" s="239"/>
      <c r="MBM41" s="240"/>
      <c r="MBN41" s="239"/>
      <c r="MBO41" s="240"/>
      <c r="MBP41" s="239"/>
      <c r="MBQ41" s="240"/>
      <c r="MBR41" s="239"/>
      <c r="MBS41" s="240"/>
      <c r="MBT41" s="239"/>
      <c r="MBU41" s="240"/>
      <c r="MBV41" s="239"/>
      <c r="MBW41" s="240"/>
      <c r="MBX41" s="239"/>
      <c r="MBY41" s="240"/>
      <c r="MBZ41" s="239"/>
      <c r="MCA41" s="240"/>
      <c r="MCB41" s="239"/>
      <c r="MCC41" s="240"/>
      <c r="MCD41" s="239"/>
      <c r="MCE41" s="240"/>
      <c r="MCF41" s="239"/>
      <c r="MCG41" s="240"/>
      <c r="MCH41" s="239"/>
      <c r="MCI41" s="240"/>
      <c r="MCJ41" s="239"/>
      <c r="MCK41" s="240"/>
      <c r="MCL41" s="239"/>
      <c r="MCM41" s="240"/>
      <c r="MCN41" s="239"/>
      <c r="MCO41" s="240"/>
      <c r="MCP41" s="239"/>
      <c r="MCQ41" s="240"/>
      <c r="MCR41" s="239"/>
      <c r="MCS41" s="240"/>
      <c r="MCT41" s="239"/>
      <c r="MCU41" s="240"/>
      <c r="MCV41" s="239"/>
      <c r="MCW41" s="240"/>
      <c r="MCX41" s="239"/>
      <c r="MCY41" s="240"/>
      <c r="MCZ41" s="239"/>
      <c r="MDA41" s="240"/>
      <c r="MDB41" s="239"/>
      <c r="MDC41" s="240"/>
      <c r="MDD41" s="239"/>
      <c r="MDE41" s="240"/>
      <c r="MDF41" s="239"/>
      <c r="MDG41" s="240"/>
      <c r="MDH41" s="239"/>
      <c r="MDI41" s="240"/>
      <c r="MDJ41" s="239"/>
      <c r="MDK41" s="240"/>
      <c r="MDL41" s="239"/>
      <c r="MDM41" s="240"/>
      <c r="MDN41" s="239"/>
      <c r="MDO41" s="240"/>
      <c r="MDP41" s="239"/>
      <c r="MDQ41" s="240"/>
      <c r="MDR41" s="239"/>
      <c r="MDS41" s="240"/>
      <c r="MDT41" s="239"/>
      <c r="MDU41" s="240"/>
      <c r="MDV41" s="239"/>
      <c r="MDW41" s="240"/>
      <c r="MDX41" s="239"/>
      <c r="MDY41" s="240"/>
      <c r="MDZ41" s="239"/>
      <c r="MEA41" s="240"/>
      <c r="MEB41" s="239"/>
      <c r="MEC41" s="240"/>
      <c r="MED41" s="239"/>
      <c r="MEE41" s="240"/>
      <c r="MEF41" s="239"/>
      <c r="MEG41" s="240"/>
      <c r="MEH41" s="239"/>
      <c r="MEI41" s="240"/>
      <c r="MEJ41" s="239"/>
      <c r="MEK41" s="240"/>
      <c r="MEL41" s="239"/>
      <c r="MEM41" s="240"/>
      <c r="MEN41" s="239"/>
      <c r="MEO41" s="240"/>
      <c r="MEP41" s="239"/>
      <c r="MEQ41" s="240"/>
      <c r="MER41" s="239"/>
      <c r="MES41" s="240"/>
      <c r="MET41" s="239"/>
      <c r="MEU41" s="240"/>
      <c r="MEV41" s="239"/>
      <c r="MEW41" s="240"/>
      <c r="MEX41" s="239"/>
      <c r="MEY41" s="240"/>
      <c r="MEZ41" s="239"/>
      <c r="MFA41" s="240"/>
      <c r="MFB41" s="239"/>
      <c r="MFC41" s="240"/>
      <c r="MFD41" s="239"/>
      <c r="MFE41" s="240"/>
      <c r="MFF41" s="239"/>
      <c r="MFG41" s="240"/>
      <c r="MFH41" s="239"/>
      <c r="MFI41" s="240"/>
      <c r="MFJ41" s="239"/>
      <c r="MFK41" s="240"/>
      <c r="MFL41" s="239"/>
      <c r="MFM41" s="240"/>
      <c r="MFN41" s="239"/>
      <c r="MFO41" s="240"/>
      <c r="MFP41" s="239"/>
      <c r="MFQ41" s="240"/>
      <c r="MFR41" s="239"/>
      <c r="MFS41" s="240"/>
      <c r="MFT41" s="239"/>
      <c r="MFU41" s="240"/>
      <c r="MFV41" s="239"/>
      <c r="MFW41" s="240"/>
      <c r="MFX41" s="239"/>
      <c r="MFY41" s="240"/>
      <c r="MFZ41" s="239"/>
      <c r="MGA41" s="240"/>
      <c r="MGB41" s="239"/>
      <c r="MGC41" s="240"/>
      <c r="MGD41" s="239"/>
      <c r="MGE41" s="240"/>
      <c r="MGF41" s="239"/>
      <c r="MGG41" s="240"/>
      <c r="MGH41" s="239"/>
      <c r="MGI41" s="240"/>
      <c r="MGJ41" s="239"/>
      <c r="MGK41" s="240"/>
      <c r="MGL41" s="239"/>
      <c r="MGM41" s="240"/>
      <c r="MGN41" s="239"/>
      <c r="MGO41" s="240"/>
      <c r="MGP41" s="239"/>
      <c r="MGQ41" s="240"/>
      <c r="MGR41" s="239"/>
      <c r="MGS41" s="240"/>
      <c r="MGT41" s="239"/>
      <c r="MGU41" s="240"/>
      <c r="MGV41" s="239"/>
      <c r="MGW41" s="240"/>
      <c r="MGX41" s="239"/>
      <c r="MGY41" s="240"/>
      <c r="MGZ41" s="239"/>
      <c r="MHA41" s="240"/>
      <c r="MHB41" s="239"/>
      <c r="MHC41" s="240"/>
      <c r="MHD41" s="239"/>
      <c r="MHE41" s="240"/>
      <c r="MHF41" s="239"/>
      <c r="MHG41" s="240"/>
      <c r="MHH41" s="239"/>
      <c r="MHI41" s="240"/>
      <c r="MHJ41" s="239"/>
      <c r="MHK41" s="240"/>
      <c r="MHL41" s="239"/>
      <c r="MHM41" s="240"/>
      <c r="MHN41" s="239"/>
      <c r="MHO41" s="240"/>
      <c r="MHP41" s="239"/>
      <c r="MHQ41" s="240"/>
      <c r="MHR41" s="239"/>
      <c r="MHS41" s="240"/>
      <c r="MHT41" s="239"/>
      <c r="MHU41" s="240"/>
      <c r="MHV41" s="239"/>
      <c r="MHW41" s="240"/>
      <c r="MHX41" s="239"/>
      <c r="MHY41" s="240"/>
      <c r="MHZ41" s="239"/>
      <c r="MIA41" s="240"/>
      <c r="MIB41" s="239"/>
      <c r="MIC41" s="240"/>
      <c r="MID41" s="239"/>
      <c r="MIE41" s="240"/>
      <c r="MIF41" s="239"/>
      <c r="MIG41" s="240"/>
      <c r="MIH41" s="239"/>
      <c r="MII41" s="240"/>
      <c r="MIJ41" s="239"/>
      <c r="MIK41" s="240"/>
      <c r="MIL41" s="239"/>
      <c r="MIM41" s="240"/>
      <c r="MIN41" s="239"/>
      <c r="MIO41" s="240"/>
      <c r="MIP41" s="239"/>
      <c r="MIQ41" s="240"/>
      <c r="MIR41" s="239"/>
      <c r="MIS41" s="240"/>
      <c r="MIT41" s="239"/>
      <c r="MIU41" s="240"/>
      <c r="MIV41" s="239"/>
      <c r="MIW41" s="240"/>
      <c r="MIX41" s="239"/>
      <c r="MIY41" s="240"/>
      <c r="MIZ41" s="239"/>
      <c r="MJA41" s="240"/>
      <c r="MJB41" s="239"/>
      <c r="MJC41" s="240"/>
      <c r="MJD41" s="239"/>
      <c r="MJE41" s="240"/>
      <c r="MJF41" s="239"/>
      <c r="MJG41" s="240"/>
      <c r="MJH41" s="239"/>
      <c r="MJI41" s="240"/>
      <c r="MJJ41" s="239"/>
      <c r="MJK41" s="240"/>
      <c r="MJL41" s="239"/>
      <c r="MJM41" s="240"/>
      <c r="MJN41" s="239"/>
      <c r="MJO41" s="240"/>
      <c r="MJP41" s="239"/>
      <c r="MJQ41" s="240"/>
      <c r="MJR41" s="239"/>
      <c r="MJS41" s="240"/>
      <c r="MJT41" s="239"/>
      <c r="MJU41" s="240"/>
      <c r="MJV41" s="239"/>
      <c r="MJW41" s="240"/>
      <c r="MJX41" s="239"/>
      <c r="MJY41" s="240"/>
      <c r="MJZ41" s="239"/>
      <c r="MKA41" s="240"/>
      <c r="MKB41" s="239"/>
      <c r="MKC41" s="240"/>
      <c r="MKD41" s="239"/>
      <c r="MKE41" s="240"/>
      <c r="MKF41" s="239"/>
      <c r="MKG41" s="240"/>
      <c r="MKH41" s="239"/>
      <c r="MKI41" s="240"/>
      <c r="MKJ41" s="239"/>
      <c r="MKK41" s="240"/>
      <c r="MKL41" s="239"/>
      <c r="MKM41" s="240"/>
      <c r="MKN41" s="239"/>
      <c r="MKO41" s="240"/>
      <c r="MKP41" s="239"/>
      <c r="MKQ41" s="240"/>
      <c r="MKR41" s="239"/>
      <c r="MKS41" s="240"/>
      <c r="MKT41" s="239"/>
      <c r="MKU41" s="240"/>
      <c r="MKV41" s="239"/>
      <c r="MKW41" s="240"/>
      <c r="MKX41" s="239"/>
      <c r="MKY41" s="240"/>
      <c r="MKZ41" s="239"/>
      <c r="MLA41" s="240"/>
      <c r="MLB41" s="239"/>
      <c r="MLC41" s="240"/>
      <c r="MLD41" s="239"/>
      <c r="MLE41" s="240"/>
      <c r="MLF41" s="239"/>
      <c r="MLG41" s="240"/>
      <c r="MLH41" s="239"/>
      <c r="MLI41" s="240"/>
      <c r="MLJ41" s="239"/>
      <c r="MLK41" s="240"/>
      <c r="MLL41" s="239"/>
      <c r="MLM41" s="240"/>
      <c r="MLN41" s="239"/>
      <c r="MLO41" s="240"/>
      <c r="MLP41" s="239"/>
      <c r="MLQ41" s="240"/>
      <c r="MLR41" s="239"/>
      <c r="MLS41" s="240"/>
      <c r="MLT41" s="239"/>
      <c r="MLU41" s="240"/>
      <c r="MLV41" s="239"/>
      <c r="MLW41" s="240"/>
      <c r="MLX41" s="239"/>
      <c r="MLY41" s="240"/>
      <c r="MLZ41" s="239"/>
      <c r="MMA41" s="240"/>
      <c r="MMB41" s="239"/>
      <c r="MMC41" s="240"/>
      <c r="MMD41" s="239"/>
      <c r="MME41" s="240"/>
      <c r="MMF41" s="239"/>
      <c r="MMG41" s="240"/>
      <c r="MMH41" s="239"/>
      <c r="MMI41" s="240"/>
      <c r="MMJ41" s="239"/>
      <c r="MMK41" s="240"/>
      <c r="MML41" s="239"/>
      <c r="MMM41" s="240"/>
      <c r="MMN41" s="239"/>
      <c r="MMO41" s="240"/>
      <c r="MMP41" s="239"/>
      <c r="MMQ41" s="240"/>
      <c r="MMR41" s="239"/>
      <c r="MMS41" s="240"/>
      <c r="MMT41" s="239"/>
      <c r="MMU41" s="240"/>
      <c r="MMV41" s="239"/>
      <c r="MMW41" s="240"/>
      <c r="MMX41" s="239"/>
      <c r="MMY41" s="240"/>
      <c r="MMZ41" s="239"/>
      <c r="MNA41" s="240"/>
      <c r="MNB41" s="239"/>
      <c r="MNC41" s="240"/>
      <c r="MND41" s="239"/>
      <c r="MNE41" s="240"/>
      <c r="MNF41" s="239"/>
      <c r="MNG41" s="240"/>
      <c r="MNH41" s="239"/>
      <c r="MNI41" s="240"/>
      <c r="MNJ41" s="239"/>
      <c r="MNK41" s="240"/>
      <c r="MNL41" s="239"/>
      <c r="MNM41" s="240"/>
      <c r="MNN41" s="239"/>
      <c r="MNO41" s="240"/>
      <c r="MNP41" s="239"/>
      <c r="MNQ41" s="240"/>
      <c r="MNR41" s="239"/>
      <c r="MNS41" s="240"/>
      <c r="MNT41" s="239"/>
      <c r="MNU41" s="240"/>
      <c r="MNV41" s="239"/>
      <c r="MNW41" s="240"/>
      <c r="MNX41" s="239"/>
      <c r="MNY41" s="240"/>
      <c r="MNZ41" s="239"/>
      <c r="MOA41" s="240"/>
      <c r="MOB41" s="239"/>
      <c r="MOC41" s="240"/>
      <c r="MOD41" s="239"/>
      <c r="MOE41" s="240"/>
      <c r="MOF41" s="239"/>
      <c r="MOG41" s="240"/>
      <c r="MOH41" s="239"/>
      <c r="MOI41" s="240"/>
      <c r="MOJ41" s="239"/>
      <c r="MOK41" s="240"/>
      <c r="MOL41" s="239"/>
      <c r="MOM41" s="240"/>
      <c r="MON41" s="239"/>
      <c r="MOO41" s="240"/>
      <c r="MOP41" s="239"/>
      <c r="MOQ41" s="240"/>
      <c r="MOR41" s="239"/>
      <c r="MOS41" s="240"/>
      <c r="MOT41" s="239"/>
      <c r="MOU41" s="240"/>
      <c r="MOV41" s="239"/>
      <c r="MOW41" s="240"/>
      <c r="MOX41" s="239"/>
      <c r="MOY41" s="240"/>
      <c r="MOZ41" s="239"/>
      <c r="MPA41" s="240"/>
      <c r="MPB41" s="239"/>
      <c r="MPC41" s="240"/>
      <c r="MPD41" s="239"/>
      <c r="MPE41" s="240"/>
      <c r="MPF41" s="239"/>
      <c r="MPG41" s="240"/>
      <c r="MPH41" s="239"/>
      <c r="MPI41" s="240"/>
      <c r="MPJ41" s="239"/>
      <c r="MPK41" s="240"/>
      <c r="MPL41" s="239"/>
      <c r="MPM41" s="240"/>
      <c r="MPN41" s="239"/>
      <c r="MPO41" s="240"/>
      <c r="MPP41" s="239"/>
      <c r="MPQ41" s="240"/>
      <c r="MPR41" s="239"/>
      <c r="MPS41" s="240"/>
      <c r="MPT41" s="239"/>
      <c r="MPU41" s="240"/>
      <c r="MPV41" s="239"/>
      <c r="MPW41" s="240"/>
      <c r="MPX41" s="239"/>
      <c r="MPY41" s="240"/>
      <c r="MPZ41" s="239"/>
      <c r="MQA41" s="240"/>
      <c r="MQB41" s="239"/>
      <c r="MQC41" s="240"/>
      <c r="MQD41" s="239"/>
      <c r="MQE41" s="240"/>
      <c r="MQF41" s="239"/>
      <c r="MQG41" s="240"/>
      <c r="MQH41" s="239"/>
      <c r="MQI41" s="240"/>
      <c r="MQJ41" s="239"/>
      <c r="MQK41" s="240"/>
      <c r="MQL41" s="239"/>
      <c r="MQM41" s="240"/>
      <c r="MQN41" s="239"/>
      <c r="MQO41" s="240"/>
      <c r="MQP41" s="239"/>
      <c r="MQQ41" s="240"/>
      <c r="MQR41" s="239"/>
      <c r="MQS41" s="240"/>
      <c r="MQT41" s="239"/>
      <c r="MQU41" s="240"/>
      <c r="MQV41" s="239"/>
      <c r="MQW41" s="240"/>
      <c r="MQX41" s="239"/>
      <c r="MQY41" s="240"/>
      <c r="MQZ41" s="239"/>
      <c r="MRA41" s="240"/>
      <c r="MRB41" s="239"/>
      <c r="MRC41" s="240"/>
      <c r="MRD41" s="239"/>
      <c r="MRE41" s="240"/>
      <c r="MRF41" s="239"/>
      <c r="MRG41" s="240"/>
      <c r="MRH41" s="239"/>
      <c r="MRI41" s="240"/>
      <c r="MRJ41" s="239"/>
      <c r="MRK41" s="240"/>
      <c r="MRL41" s="239"/>
      <c r="MRM41" s="240"/>
      <c r="MRN41" s="239"/>
      <c r="MRO41" s="240"/>
      <c r="MRP41" s="239"/>
      <c r="MRQ41" s="240"/>
      <c r="MRR41" s="239"/>
      <c r="MRS41" s="240"/>
      <c r="MRT41" s="239"/>
      <c r="MRU41" s="240"/>
      <c r="MRV41" s="239"/>
      <c r="MRW41" s="240"/>
      <c r="MRX41" s="239"/>
      <c r="MRY41" s="240"/>
      <c r="MRZ41" s="239"/>
      <c r="MSA41" s="240"/>
      <c r="MSB41" s="239"/>
      <c r="MSC41" s="240"/>
      <c r="MSD41" s="239"/>
      <c r="MSE41" s="240"/>
      <c r="MSF41" s="239"/>
      <c r="MSG41" s="240"/>
      <c r="MSH41" s="239"/>
      <c r="MSI41" s="240"/>
      <c r="MSJ41" s="239"/>
      <c r="MSK41" s="240"/>
      <c r="MSL41" s="239"/>
      <c r="MSM41" s="240"/>
      <c r="MSN41" s="239"/>
      <c r="MSO41" s="240"/>
      <c r="MSP41" s="239"/>
      <c r="MSQ41" s="240"/>
      <c r="MSR41" s="239"/>
      <c r="MSS41" s="240"/>
      <c r="MST41" s="239"/>
      <c r="MSU41" s="240"/>
      <c r="MSV41" s="239"/>
      <c r="MSW41" s="240"/>
      <c r="MSX41" s="239"/>
      <c r="MSY41" s="240"/>
      <c r="MSZ41" s="239"/>
      <c r="MTA41" s="240"/>
      <c r="MTB41" s="239"/>
      <c r="MTC41" s="240"/>
      <c r="MTD41" s="239"/>
      <c r="MTE41" s="240"/>
      <c r="MTF41" s="239"/>
      <c r="MTG41" s="240"/>
      <c r="MTH41" s="239"/>
      <c r="MTI41" s="240"/>
      <c r="MTJ41" s="239"/>
      <c r="MTK41" s="240"/>
      <c r="MTL41" s="239"/>
      <c r="MTM41" s="240"/>
      <c r="MTN41" s="239"/>
      <c r="MTO41" s="240"/>
      <c r="MTP41" s="239"/>
      <c r="MTQ41" s="240"/>
      <c r="MTR41" s="239"/>
      <c r="MTS41" s="240"/>
      <c r="MTT41" s="239"/>
      <c r="MTU41" s="240"/>
      <c r="MTV41" s="239"/>
      <c r="MTW41" s="240"/>
      <c r="MTX41" s="239"/>
      <c r="MTY41" s="240"/>
      <c r="MTZ41" s="239"/>
      <c r="MUA41" s="240"/>
      <c r="MUB41" s="239"/>
      <c r="MUC41" s="240"/>
      <c r="MUD41" s="239"/>
      <c r="MUE41" s="240"/>
      <c r="MUF41" s="239"/>
      <c r="MUG41" s="240"/>
      <c r="MUH41" s="239"/>
      <c r="MUI41" s="240"/>
      <c r="MUJ41" s="239"/>
      <c r="MUK41" s="240"/>
      <c r="MUL41" s="239"/>
      <c r="MUM41" s="240"/>
      <c r="MUN41" s="239"/>
      <c r="MUO41" s="240"/>
      <c r="MUP41" s="239"/>
      <c r="MUQ41" s="240"/>
      <c r="MUR41" s="239"/>
      <c r="MUS41" s="240"/>
      <c r="MUT41" s="239"/>
      <c r="MUU41" s="240"/>
      <c r="MUV41" s="239"/>
      <c r="MUW41" s="240"/>
      <c r="MUX41" s="239"/>
      <c r="MUY41" s="240"/>
      <c r="MUZ41" s="239"/>
      <c r="MVA41" s="240"/>
      <c r="MVB41" s="239"/>
      <c r="MVC41" s="240"/>
      <c r="MVD41" s="239"/>
      <c r="MVE41" s="240"/>
      <c r="MVF41" s="239"/>
      <c r="MVG41" s="240"/>
      <c r="MVH41" s="239"/>
      <c r="MVI41" s="240"/>
      <c r="MVJ41" s="239"/>
      <c r="MVK41" s="240"/>
      <c r="MVL41" s="239"/>
      <c r="MVM41" s="240"/>
      <c r="MVN41" s="239"/>
      <c r="MVO41" s="240"/>
      <c r="MVP41" s="239"/>
      <c r="MVQ41" s="240"/>
      <c r="MVR41" s="239"/>
      <c r="MVS41" s="240"/>
      <c r="MVT41" s="239"/>
      <c r="MVU41" s="240"/>
      <c r="MVV41" s="239"/>
      <c r="MVW41" s="240"/>
      <c r="MVX41" s="239"/>
      <c r="MVY41" s="240"/>
      <c r="MVZ41" s="239"/>
      <c r="MWA41" s="240"/>
      <c r="MWB41" s="239"/>
      <c r="MWC41" s="240"/>
      <c r="MWD41" s="239"/>
      <c r="MWE41" s="240"/>
      <c r="MWF41" s="239"/>
      <c r="MWG41" s="240"/>
      <c r="MWH41" s="239"/>
      <c r="MWI41" s="240"/>
      <c r="MWJ41" s="239"/>
      <c r="MWK41" s="240"/>
      <c r="MWL41" s="239"/>
      <c r="MWM41" s="240"/>
      <c r="MWN41" s="239"/>
      <c r="MWO41" s="240"/>
      <c r="MWP41" s="239"/>
      <c r="MWQ41" s="240"/>
      <c r="MWR41" s="239"/>
      <c r="MWS41" s="240"/>
      <c r="MWT41" s="239"/>
      <c r="MWU41" s="240"/>
      <c r="MWV41" s="239"/>
      <c r="MWW41" s="240"/>
      <c r="MWX41" s="239"/>
      <c r="MWY41" s="240"/>
      <c r="MWZ41" s="239"/>
      <c r="MXA41" s="240"/>
      <c r="MXB41" s="239"/>
      <c r="MXC41" s="240"/>
      <c r="MXD41" s="239"/>
      <c r="MXE41" s="240"/>
      <c r="MXF41" s="239"/>
      <c r="MXG41" s="240"/>
      <c r="MXH41" s="239"/>
      <c r="MXI41" s="240"/>
      <c r="MXJ41" s="239"/>
      <c r="MXK41" s="240"/>
      <c r="MXL41" s="239"/>
      <c r="MXM41" s="240"/>
      <c r="MXN41" s="239"/>
      <c r="MXO41" s="240"/>
      <c r="MXP41" s="239"/>
      <c r="MXQ41" s="240"/>
      <c r="MXR41" s="239"/>
      <c r="MXS41" s="240"/>
      <c r="MXT41" s="239"/>
      <c r="MXU41" s="240"/>
      <c r="MXV41" s="239"/>
      <c r="MXW41" s="240"/>
      <c r="MXX41" s="239"/>
      <c r="MXY41" s="240"/>
      <c r="MXZ41" s="239"/>
      <c r="MYA41" s="240"/>
      <c r="MYB41" s="239"/>
      <c r="MYC41" s="240"/>
      <c r="MYD41" s="239"/>
      <c r="MYE41" s="240"/>
      <c r="MYF41" s="239"/>
      <c r="MYG41" s="240"/>
      <c r="MYH41" s="239"/>
      <c r="MYI41" s="240"/>
      <c r="MYJ41" s="239"/>
      <c r="MYK41" s="240"/>
      <c r="MYL41" s="239"/>
      <c r="MYM41" s="240"/>
      <c r="MYN41" s="239"/>
      <c r="MYO41" s="240"/>
      <c r="MYP41" s="239"/>
      <c r="MYQ41" s="240"/>
      <c r="MYR41" s="239"/>
      <c r="MYS41" s="240"/>
      <c r="MYT41" s="239"/>
      <c r="MYU41" s="240"/>
      <c r="MYV41" s="239"/>
      <c r="MYW41" s="240"/>
      <c r="MYX41" s="239"/>
      <c r="MYY41" s="240"/>
      <c r="MYZ41" s="239"/>
      <c r="MZA41" s="240"/>
      <c r="MZB41" s="239"/>
      <c r="MZC41" s="240"/>
      <c r="MZD41" s="239"/>
      <c r="MZE41" s="240"/>
      <c r="MZF41" s="239"/>
      <c r="MZG41" s="240"/>
      <c r="MZH41" s="239"/>
      <c r="MZI41" s="240"/>
      <c r="MZJ41" s="239"/>
      <c r="MZK41" s="240"/>
      <c r="MZL41" s="239"/>
      <c r="MZM41" s="240"/>
      <c r="MZN41" s="239"/>
      <c r="MZO41" s="240"/>
      <c r="MZP41" s="239"/>
      <c r="MZQ41" s="240"/>
      <c r="MZR41" s="239"/>
      <c r="MZS41" s="240"/>
      <c r="MZT41" s="239"/>
      <c r="MZU41" s="240"/>
      <c r="MZV41" s="239"/>
      <c r="MZW41" s="240"/>
      <c r="MZX41" s="239"/>
      <c r="MZY41" s="240"/>
      <c r="MZZ41" s="239"/>
      <c r="NAA41" s="240"/>
      <c r="NAB41" s="239"/>
      <c r="NAC41" s="240"/>
      <c r="NAD41" s="239"/>
      <c r="NAE41" s="240"/>
      <c r="NAF41" s="239"/>
      <c r="NAG41" s="240"/>
      <c r="NAH41" s="239"/>
      <c r="NAI41" s="240"/>
      <c r="NAJ41" s="239"/>
      <c r="NAK41" s="240"/>
      <c r="NAL41" s="239"/>
      <c r="NAM41" s="240"/>
      <c r="NAN41" s="239"/>
      <c r="NAO41" s="240"/>
      <c r="NAP41" s="239"/>
      <c r="NAQ41" s="240"/>
      <c r="NAR41" s="239"/>
      <c r="NAS41" s="240"/>
      <c r="NAT41" s="239"/>
      <c r="NAU41" s="240"/>
      <c r="NAV41" s="239"/>
      <c r="NAW41" s="240"/>
      <c r="NAX41" s="239"/>
      <c r="NAY41" s="240"/>
      <c r="NAZ41" s="239"/>
      <c r="NBA41" s="240"/>
      <c r="NBB41" s="239"/>
      <c r="NBC41" s="240"/>
      <c r="NBD41" s="239"/>
      <c r="NBE41" s="240"/>
      <c r="NBF41" s="239"/>
      <c r="NBG41" s="240"/>
      <c r="NBH41" s="239"/>
      <c r="NBI41" s="240"/>
      <c r="NBJ41" s="239"/>
      <c r="NBK41" s="240"/>
      <c r="NBL41" s="239"/>
      <c r="NBM41" s="240"/>
      <c r="NBN41" s="239"/>
      <c r="NBO41" s="240"/>
      <c r="NBP41" s="239"/>
      <c r="NBQ41" s="240"/>
      <c r="NBR41" s="239"/>
      <c r="NBS41" s="240"/>
      <c r="NBT41" s="239"/>
      <c r="NBU41" s="240"/>
      <c r="NBV41" s="239"/>
      <c r="NBW41" s="240"/>
      <c r="NBX41" s="239"/>
      <c r="NBY41" s="240"/>
      <c r="NBZ41" s="239"/>
      <c r="NCA41" s="240"/>
      <c r="NCB41" s="239"/>
      <c r="NCC41" s="240"/>
      <c r="NCD41" s="239"/>
      <c r="NCE41" s="240"/>
      <c r="NCF41" s="239"/>
      <c r="NCG41" s="240"/>
      <c r="NCH41" s="239"/>
      <c r="NCI41" s="240"/>
      <c r="NCJ41" s="239"/>
      <c r="NCK41" s="240"/>
      <c r="NCL41" s="239"/>
      <c r="NCM41" s="240"/>
      <c r="NCN41" s="239"/>
      <c r="NCO41" s="240"/>
      <c r="NCP41" s="239"/>
      <c r="NCQ41" s="240"/>
      <c r="NCR41" s="239"/>
      <c r="NCS41" s="240"/>
      <c r="NCT41" s="239"/>
      <c r="NCU41" s="240"/>
      <c r="NCV41" s="239"/>
      <c r="NCW41" s="240"/>
      <c r="NCX41" s="239"/>
      <c r="NCY41" s="240"/>
      <c r="NCZ41" s="239"/>
      <c r="NDA41" s="240"/>
      <c r="NDB41" s="239"/>
      <c r="NDC41" s="240"/>
      <c r="NDD41" s="239"/>
      <c r="NDE41" s="240"/>
      <c r="NDF41" s="239"/>
      <c r="NDG41" s="240"/>
      <c r="NDH41" s="239"/>
      <c r="NDI41" s="240"/>
      <c r="NDJ41" s="239"/>
      <c r="NDK41" s="240"/>
      <c r="NDL41" s="239"/>
      <c r="NDM41" s="240"/>
      <c r="NDN41" s="239"/>
      <c r="NDO41" s="240"/>
      <c r="NDP41" s="239"/>
      <c r="NDQ41" s="240"/>
      <c r="NDR41" s="239"/>
      <c r="NDS41" s="240"/>
      <c r="NDT41" s="239"/>
      <c r="NDU41" s="240"/>
      <c r="NDV41" s="239"/>
      <c r="NDW41" s="240"/>
      <c r="NDX41" s="239"/>
      <c r="NDY41" s="240"/>
      <c r="NDZ41" s="239"/>
      <c r="NEA41" s="240"/>
      <c r="NEB41" s="239"/>
      <c r="NEC41" s="240"/>
      <c r="NED41" s="239"/>
      <c r="NEE41" s="240"/>
      <c r="NEF41" s="239"/>
      <c r="NEG41" s="240"/>
      <c r="NEH41" s="239"/>
      <c r="NEI41" s="240"/>
      <c r="NEJ41" s="239"/>
      <c r="NEK41" s="240"/>
      <c r="NEL41" s="239"/>
      <c r="NEM41" s="240"/>
      <c r="NEN41" s="239"/>
      <c r="NEO41" s="240"/>
      <c r="NEP41" s="239"/>
      <c r="NEQ41" s="240"/>
      <c r="NER41" s="239"/>
      <c r="NES41" s="240"/>
      <c r="NET41" s="239"/>
      <c r="NEU41" s="240"/>
      <c r="NEV41" s="239"/>
      <c r="NEW41" s="240"/>
      <c r="NEX41" s="239"/>
      <c r="NEY41" s="240"/>
      <c r="NEZ41" s="239"/>
      <c r="NFA41" s="240"/>
      <c r="NFB41" s="239"/>
      <c r="NFC41" s="240"/>
      <c r="NFD41" s="239"/>
      <c r="NFE41" s="240"/>
      <c r="NFF41" s="239"/>
      <c r="NFG41" s="240"/>
      <c r="NFH41" s="239"/>
      <c r="NFI41" s="240"/>
      <c r="NFJ41" s="239"/>
      <c r="NFK41" s="240"/>
      <c r="NFL41" s="239"/>
      <c r="NFM41" s="240"/>
      <c r="NFN41" s="239"/>
      <c r="NFO41" s="240"/>
      <c r="NFP41" s="239"/>
      <c r="NFQ41" s="240"/>
      <c r="NFR41" s="239"/>
      <c r="NFS41" s="240"/>
      <c r="NFT41" s="239"/>
      <c r="NFU41" s="240"/>
      <c r="NFV41" s="239"/>
      <c r="NFW41" s="240"/>
      <c r="NFX41" s="239"/>
      <c r="NFY41" s="240"/>
      <c r="NFZ41" s="239"/>
      <c r="NGA41" s="240"/>
      <c r="NGB41" s="239"/>
      <c r="NGC41" s="240"/>
      <c r="NGD41" s="239"/>
      <c r="NGE41" s="240"/>
      <c r="NGF41" s="239"/>
      <c r="NGG41" s="240"/>
      <c r="NGH41" s="239"/>
      <c r="NGI41" s="240"/>
      <c r="NGJ41" s="239"/>
      <c r="NGK41" s="240"/>
      <c r="NGL41" s="239"/>
      <c r="NGM41" s="240"/>
      <c r="NGN41" s="239"/>
      <c r="NGO41" s="240"/>
      <c r="NGP41" s="239"/>
      <c r="NGQ41" s="240"/>
      <c r="NGR41" s="239"/>
      <c r="NGS41" s="240"/>
      <c r="NGT41" s="239"/>
      <c r="NGU41" s="240"/>
      <c r="NGV41" s="239"/>
      <c r="NGW41" s="240"/>
      <c r="NGX41" s="239"/>
      <c r="NGY41" s="240"/>
      <c r="NGZ41" s="239"/>
      <c r="NHA41" s="240"/>
      <c r="NHB41" s="239"/>
      <c r="NHC41" s="240"/>
      <c r="NHD41" s="239"/>
      <c r="NHE41" s="240"/>
      <c r="NHF41" s="239"/>
      <c r="NHG41" s="240"/>
      <c r="NHH41" s="239"/>
      <c r="NHI41" s="240"/>
      <c r="NHJ41" s="239"/>
      <c r="NHK41" s="240"/>
      <c r="NHL41" s="239"/>
      <c r="NHM41" s="240"/>
      <c r="NHN41" s="239"/>
      <c r="NHO41" s="240"/>
      <c r="NHP41" s="239"/>
      <c r="NHQ41" s="240"/>
      <c r="NHR41" s="239"/>
      <c r="NHS41" s="240"/>
      <c r="NHT41" s="239"/>
      <c r="NHU41" s="240"/>
      <c r="NHV41" s="239"/>
      <c r="NHW41" s="240"/>
      <c r="NHX41" s="239"/>
      <c r="NHY41" s="240"/>
      <c r="NHZ41" s="239"/>
      <c r="NIA41" s="240"/>
      <c r="NIB41" s="239"/>
      <c r="NIC41" s="240"/>
      <c r="NID41" s="239"/>
      <c r="NIE41" s="240"/>
      <c r="NIF41" s="239"/>
      <c r="NIG41" s="240"/>
      <c r="NIH41" s="239"/>
      <c r="NII41" s="240"/>
      <c r="NIJ41" s="239"/>
      <c r="NIK41" s="240"/>
      <c r="NIL41" s="239"/>
      <c r="NIM41" s="240"/>
      <c r="NIN41" s="239"/>
      <c r="NIO41" s="240"/>
      <c r="NIP41" s="239"/>
      <c r="NIQ41" s="240"/>
      <c r="NIR41" s="239"/>
      <c r="NIS41" s="240"/>
      <c r="NIT41" s="239"/>
      <c r="NIU41" s="240"/>
      <c r="NIV41" s="239"/>
      <c r="NIW41" s="240"/>
      <c r="NIX41" s="239"/>
      <c r="NIY41" s="240"/>
      <c r="NIZ41" s="239"/>
      <c r="NJA41" s="240"/>
      <c r="NJB41" s="239"/>
      <c r="NJC41" s="240"/>
      <c r="NJD41" s="239"/>
      <c r="NJE41" s="240"/>
      <c r="NJF41" s="239"/>
      <c r="NJG41" s="240"/>
      <c r="NJH41" s="239"/>
      <c r="NJI41" s="240"/>
      <c r="NJJ41" s="239"/>
      <c r="NJK41" s="240"/>
      <c r="NJL41" s="239"/>
      <c r="NJM41" s="240"/>
      <c r="NJN41" s="239"/>
      <c r="NJO41" s="240"/>
      <c r="NJP41" s="239"/>
      <c r="NJQ41" s="240"/>
      <c r="NJR41" s="239"/>
      <c r="NJS41" s="240"/>
      <c r="NJT41" s="239"/>
      <c r="NJU41" s="240"/>
      <c r="NJV41" s="239"/>
      <c r="NJW41" s="240"/>
      <c r="NJX41" s="239"/>
      <c r="NJY41" s="240"/>
      <c r="NJZ41" s="239"/>
      <c r="NKA41" s="240"/>
      <c r="NKB41" s="239"/>
      <c r="NKC41" s="240"/>
      <c r="NKD41" s="239"/>
      <c r="NKE41" s="240"/>
      <c r="NKF41" s="239"/>
      <c r="NKG41" s="240"/>
      <c r="NKH41" s="239"/>
      <c r="NKI41" s="240"/>
      <c r="NKJ41" s="239"/>
      <c r="NKK41" s="240"/>
      <c r="NKL41" s="239"/>
      <c r="NKM41" s="240"/>
      <c r="NKN41" s="239"/>
      <c r="NKO41" s="240"/>
      <c r="NKP41" s="239"/>
      <c r="NKQ41" s="240"/>
      <c r="NKR41" s="239"/>
      <c r="NKS41" s="240"/>
      <c r="NKT41" s="239"/>
      <c r="NKU41" s="240"/>
      <c r="NKV41" s="239"/>
      <c r="NKW41" s="240"/>
      <c r="NKX41" s="239"/>
      <c r="NKY41" s="240"/>
      <c r="NKZ41" s="239"/>
      <c r="NLA41" s="240"/>
      <c r="NLB41" s="239"/>
      <c r="NLC41" s="240"/>
      <c r="NLD41" s="239"/>
      <c r="NLE41" s="240"/>
      <c r="NLF41" s="239"/>
      <c r="NLG41" s="240"/>
      <c r="NLH41" s="239"/>
      <c r="NLI41" s="240"/>
      <c r="NLJ41" s="239"/>
      <c r="NLK41" s="240"/>
      <c r="NLL41" s="239"/>
      <c r="NLM41" s="240"/>
      <c r="NLN41" s="239"/>
      <c r="NLO41" s="240"/>
      <c r="NLP41" s="239"/>
      <c r="NLQ41" s="240"/>
      <c r="NLR41" s="239"/>
      <c r="NLS41" s="240"/>
      <c r="NLT41" s="239"/>
      <c r="NLU41" s="240"/>
      <c r="NLV41" s="239"/>
      <c r="NLW41" s="240"/>
      <c r="NLX41" s="239"/>
      <c r="NLY41" s="240"/>
      <c r="NLZ41" s="239"/>
      <c r="NMA41" s="240"/>
      <c r="NMB41" s="239"/>
      <c r="NMC41" s="240"/>
      <c r="NMD41" s="239"/>
      <c r="NME41" s="240"/>
      <c r="NMF41" s="239"/>
      <c r="NMG41" s="240"/>
      <c r="NMH41" s="239"/>
      <c r="NMI41" s="240"/>
      <c r="NMJ41" s="239"/>
      <c r="NMK41" s="240"/>
      <c r="NML41" s="239"/>
      <c r="NMM41" s="240"/>
      <c r="NMN41" s="239"/>
      <c r="NMO41" s="240"/>
      <c r="NMP41" s="239"/>
      <c r="NMQ41" s="240"/>
      <c r="NMR41" s="239"/>
      <c r="NMS41" s="240"/>
      <c r="NMT41" s="239"/>
      <c r="NMU41" s="240"/>
      <c r="NMV41" s="239"/>
      <c r="NMW41" s="240"/>
      <c r="NMX41" s="239"/>
      <c r="NMY41" s="240"/>
      <c r="NMZ41" s="239"/>
      <c r="NNA41" s="240"/>
      <c r="NNB41" s="239"/>
      <c r="NNC41" s="240"/>
      <c r="NND41" s="239"/>
      <c r="NNE41" s="240"/>
      <c r="NNF41" s="239"/>
      <c r="NNG41" s="240"/>
      <c r="NNH41" s="239"/>
      <c r="NNI41" s="240"/>
      <c r="NNJ41" s="239"/>
      <c r="NNK41" s="240"/>
      <c r="NNL41" s="239"/>
      <c r="NNM41" s="240"/>
      <c r="NNN41" s="239"/>
      <c r="NNO41" s="240"/>
      <c r="NNP41" s="239"/>
      <c r="NNQ41" s="240"/>
      <c r="NNR41" s="239"/>
      <c r="NNS41" s="240"/>
      <c r="NNT41" s="239"/>
      <c r="NNU41" s="240"/>
      <c r="NNV41" s="239"/>
      <c r="NNW41" s="240"/>
      <c r="NNX41" s="239"/>
      <c r="NNY41" s="240"/>
      <c r="NNZ41" s="239"/>
      <c r="NOA41" s="240"/>
      <c r="NOB41" s="239"/>
      <c r="NOC41" s="240"/>
      <c r="NOD41" s="239"/>
      <c r="NOE41" s="240"/>
      <c r="NOF41" s="239"/>
      <c r="NOG41" s="240"/>
      <c r="NOH41" s="239"/>
      <c r="NOI41" s="240"/>
      <c r="NOJ41" s="239"/>
      <c r="NOK41" s="240"/>
      <c r="NOL41" s="239"/>
      <c r="NOM41" s="240"/>
      <c r="NON41" s="239"/>
      <c r="NOO41" s="240"/>
      <c r="NOP41" s="239"/>
      <c r="NOQ41" s="240"/>
      <c r="NOR41" s="239"/>
      <c r="NOS41" s="240"/>
      <c r="NOT41" s="239"/>
      <c r="NOU41" s="240"/>
      <c r="NOV41" s="239"/>
      <c r="NOW41" s="240"/>
      <c r="NOX41" s="239"/>
      <c r="NOY41" s="240"/>
      <c r="NOZ41" s="239"/>
      <c r="NPA41" s="240"/>
      <c r="NPB41" s="239"/>
      <c r="NPC41" s="240"/>
      <c r="NPD41" s="239"/>
      <c r="NPE41" s="240"/>
      <c r="NPF41" s="239"/>
      <c r="NPG41" s="240"/>
      <c r="NPH41" s="239"/>
      <c r="NPI41" s="240"/>
      <c r="NPJ41" s="239"/>
      <c r="NPK41" s="240"/>
      <c r="NPL41" s="239"/>
      <c r="NPM41" s="240"/>
      <c r="NPN41" s="239"/>
      <c r="NPO41" s="240"/>
      <c r="NPP41" s="239"/>
      <c r="NPQ41" s="240"/>
      <c r="NPR41" s="239"/>
      <c r="NPS41" s="240"/>
      <c r="NPT41" s="239"/>
      <c r="NPU41" s="240"/>
      <c r="NPV41" s="239"/>
      <c r="NPW41" s="240"/>
      <c r="NPX41" s="239"/>
      <c r="NPY41" s="240"/>
      <c r="NPZ41" s="239"/>
      <c r="NQA41" s="240"/>
      <c r="NQB41" s="239"/>
      <c r="NQC41" s="240"/>
      <c r="NQD41" s="239"/>
      <c r="NQE41" s="240"/>
      <c r="NQF41" s="239"/>
      <c r="NQG41" s="240"/>
      <c r="NQH41" s="239"/>
      <c r="NQI41" s="240"/>
      <c r="NQJ41" s="239"/>
      <c r="NQK41" s="240"/>
      <c r="NQL41" s="239"/>
      <c r="NQM41" s="240"/>
      <c r="NQN41" s="239"/>
      <c r="NQO41" s="240"/>
      <c r="NQP41" s="239"/>
      <c r="NQQ41" s="240"/>
      <c r="NQR41" s="239"/>
      <c r="NQS41" s="240"/>
      <c r="NQT41" s="239"/>
      <c r="NQU41" s="240"/>
      <c r="NQV41" s="239"/>
      <c r="NQW41" s="240"/>
      <c r="NQX41" s="239"/>
      <c r="NQY41" s="240"/>
      <c r="NQZ41" s="239"/>
      <c r="NRA41" s="240"/>
      <c r="NRB41" s="239"/>
      <c r="NRC41" s="240"/>
      <c r="NRD41" s="239"/>
      <c r="NRE41" s="240"/>
      <c r="NRF41" s="239"/>
      <c r="NRG41" s="240"/>
      <c r="NRH41" s="239"/>
      <c r="NRI41" s="240"/>
      <c r="NRJ41" s="239"/>
      <c r="NRK41" s="240"/>
      <c r="NRL41" s="239"/>
      <c r="NRM41" s="240"/>
      <c r="NRN41" s="239"/>
      <c r="NRO41" s="240"/>
      <c r="NRP41" s="239"/>
      <c r="NRQ41" s="240"/>
      <c r="NRR41" s="239"/>
      <c r="NRS41" s="240"/>
      <c r="NRT41" s="239"/>
      <c r="NRU41" s="240"/>
      <c r="NRV41" s="239"/>
      <c r="NRW41" s="240"/>
      <c r="NRX41" s="239"/>
      <c r="NRY41" s="240"/>
      <c r="NRZ41" s="239"/>
      <c r="NSA41" s="240"/>
      <c r="NSB41" s="239"/>
      <c r="NSC41" s="240"/>
      <c r="NSD41" s="239"/>
      <c r="NSE41" s="240"/>
      <c r="NSF41" s="239"/>
      <c r="NSG41" s="240"/>
      <c r="NSH41" s="239"/>
      <c r="NSI41" s="240"/>
      <c r="NSJ41" s="239"/>
      <c r="NSK41" s="240"/>
      <c r="NSL41" s="239"/>
      <c r="NSM41" s="240"/>
      <c r="NSN41" s="239"/>
      <c r="NSO41" s="240"/>
      <c r="NSP41" s="239"/>
      <c r="NSQ41" s="240"/>
      <c r="NSR41" s="239"/>
      <c r="NSS41" s="240"/>
      <c r="NST41" s="239"/>
      <c r="NSU41" s="240"/>
      <c r="NSV41" s="239"/>
      <c r="NSW41" s="240"/>
      <c r="NSX41" s="239"/>
      <c r="NSY41" s="240"/>
      <c r="NSZ41" s="239"/>
      <c r="NTA41" s="240"/>
      <c r="NTB41" s="239"/>
      <c r="NTC41" s="240"/>
      <c r="NTD41" s="239"/>
      <c r="NTE41" s="240"/>
      <c r="NTF41" s="239"/>
      <c r="NTG41" s="240"/>
      <c r="NTH41" s="239"/>
      <c r="NTI41" s="240"/>
      <c r="NTJ41" s="239"/>
      <c r="NTK41" s="240"/>
      <c r="NTL41" s="239"/>
      <c r="NTM41" s="240"/>
      <c r="NTN41" s="239"/>
      <c r="NTO41" s="240"/>
      <c r="NTP41" s="239"/>
      <c r="NTQ41" s="240"/>
      <c r="NTR41" s="239"/>
      <c r="NTS41" s="240"/>
      <c r="NTT41" s="239"/>
      <c r="NTU41" s="240"/>
      <c r="NTV41" s="239"/>
      <c r="NTW41" s="240"/>
      <c r="NTX41" s="239"/>
      <c r="NTY41" s="240"/>
      <c r="NTZ41" s="239"/>
      <c r="NUA41" s="240"/>
      <c r="NUB41" s="239"/>
      <c r="NUC41" s="240"/>
      <c r="NUD41" s="239"/>
      <c r="NUE41" s="240"/>
      <c r="NUF41" s="239"/>
      <c r="NUG41" s="240"/>
      <c r="NUH41" s="239"/>
      <c r="NUI41" s="240"/>
      <c r="NUJ41" s="239"/>
      <c r="NUK41" s="240"/>
      <c r="NUL41" s="239"/>
      <c r="NUM41" s="240"/>
      <c r="NUN41" s="239"/>
      <c r="NUO41" s="240"/>
      <c r="NUP41" s="239"/>
      <c r="NUQ41" s="240"/>
      <c r="NUR41" s="239"/>
      <c r="NUS41" s="240"/>
      <c r="NUT41" s="239"/>
      <c r="NUU41" s="240"/>
      <c r="NUV41" s="239"/>
      <c r="NUW41" s="240"/>
      <c r="NUX41" s="239"/>
      <c r="NUY41" s="240"/>
      <c r="NUZ41" s="239"/>
      <c r="NVA41" s="240"/>
      <c r="NVB41" s="239"/>
      <c r="NVC41" s="240"/>
      <c r="NVD41" s="239"/>
      <c r="NVE41" s="240"/>
      <c r="NVF41" s="239"/>
      <c r="NVG41" s="240"/>
      <c r="NVH41" s="239"/>
      <c r="NVI41" s="240"/>
      <c r="NVJ41" s="239"/>
      <c r="NVK41" s="240"/>
      <c r="NVL41" s="239"/>
      <c r="NVM41" s="240"/>
      <c r="NVN41" s="239"/>
      <c r="NVO41" s="240"/>
      <c r="NVP41" s="239"/>
      <c r="NVQ41" s="240"/>
      <c r="NVR41" s="239"/>
      <c r="NVS41" s="240"/>
      <c r="NVT41" s="239"/>
      <c r="NVU41" s="240"/>
      <c r="NVV41" s="239"/>
      <c r="NVW41" s="240"/>
      <c r="NVX41" s="239"/>
      <c r="NVY41" s="240"/>
      <c r="NVZ41" s="239"/>
      <c r="NWA41" s="240"/>
      <c r="NWB41" s="239"/>
      <c r="NWC41" s="240"/>
      <c r="NWD41" s="239"/>
      <c r="NWE41" s="240"/>
      <c r="NWF41" s="239"/>
      <c r="NWG41" s="240"/>
      <c r="NWH41" s="239"/>
      <c r="NWI41" s="240"/>
      <c r="NWJ41" s="239"/>
      <c r="NWK41" s="240"/>
      <c r="NWL41" s="239"/>
      <c r="NWM41" s="240"/>
      <c r="NWN41" s="239"/>
      <c r="NWO41" s="240"/>
      <c r="NWP41" s="239"/>
      <c r="NWQ41" s="240"/>
      <c r="NWR41" s="239"/>
      <c r="NWS41" s="240"/>
      <c r="NWT41" s="239"/>
      <c r="NWU41" s="240"/>
      <c r="NWV41" s="239"/>
      <c r="NWW41" s="240"/>
      <c r="NWX41" s="239"/>
      <c r="NWY41" s="240"/>
      <c r="NWZ41" s="239"/>
      <c r="NXA41" s="240"/>
      <c r="NXB41" s="239"/>
      <c r="NXC41" s="240"/>
      <c r="NXD41" s="239"/>
      <c r="NXE41" s="240"/>
      <c r="NXF41" s="239"/>
      <c r="NXG41" s="240"/>
      <c r="NXH41" s="239"/>
      <c r="NXI41" s="240"/>
      <c r="NXJ41" s="239"/>
      <c r="NXK41" s="240"/>
      <c r="NXL41" s="239"/>
      <c r="NXM41" s="240"/>
      <c r="NXN41" s="239"/>
      <c r="NXO41" s="240"/>
      <c r="NXP41" s="239"/>
      <c r="NXQ41" s="240"/>
      <c r="NXR41" s="239"/>
      <c r="NXS41" s="240"/>
      <c r="NXT41" s="239"/>
      <c r="NXU41" s="240"/>
      <c r="NXV41" s="239"/>
      <c r="NXW41" s="240"/>
      <c r="NXX41" s="239"/>
      <c r="NXY41" s="240"/>
      <c r="NXZ41" s="239"/>
      <c r="NYA41" s="240"/>
      <c r="NYB41" s="239"/>
      <c r="NYC41" s="240"/>
      <c r="NYD41" s="239"/>
      <c r="NYE41" s="240"/>
      <c r="NYF41" s="239"/>
      <c r="NYG41" s="240"/>
      <c r="NYH41" s="239"/>
      <c r="NYI41" s="240"/>
      <c r="NYJ41" s="239"/>
      <c r="NYK41" s="240"/>
      <c r="NYL41" s="239"/>
      <c r="NYM41" s="240"/>
      <c r="NYN41" s="239"/>
      <c r="NYO41" s="240"/>
      <c r="NYP41" s="239"/>
      <c r="NYQ41" s="240"/>
      <c r="NYR41" s="239"/>
      <c r="NYS41" s="240"/>
      <c r="NYT41" s="239"/>
      <c r="NYU41" s="240"/>
      <c r="NYV41" s="239"/>
      <c r="NYW41" s="240"/>
      <c r="NYX41" s="239"/>
      <c r="NYY41" s="240"/>
      <c r="NYZ41" s="239"/>
      <c r="NZA41" s="240"/>
      <c r="NZB41" s="239"/>
      <c r="NZC41" s="240"/>
      <c r="NZD41" s="239"/>
      <c r="NZE41" s="240"/>
      <c r="NZF41" s="239"/>
      <c r="NZG41" s="240"/>
      <c r="NZH41" s="239"/>
      <c r="NZI41" s="240"/>
      <c r="NZJ41" s="239"/>
      <c r="NZK41" s="240"/>
      <c r="NZL41" s="239"/>
      <c r="NZM41" s="240"/>
      <c r="NZN41" s="239"/>
      <c r="NZO41" s="240"/>
      <c r="NZP41" s="239"/>
      <c r="NZQ41" s="240"/>
      <c r="NZR41" s="239"/>
      <c r="NZS41" s="240"/>
      <c r="NZT41" s="239"/>
      <c r="NZU41" s="240"/>
      <c r="NZV41" s="239"/>
      <c r="NZW41" s="240"/>
      <c r="NZX41" s="239"/>
      <c r="NZY41" s="240"/>
      <c r="NZZ41" s="239"/>
      <c r="OAA41" s="240"/>
      <c r="OAB41" s="239"/>
      <c r="OAC41" s="240"/>
      <c r="OAD41" s="239"/>
      <c r="OAE41" s="240"/>
      <c r="OAF41" s="239"/>
      <c r="OAG41" s="240"/>
      <c r="OAH41" s="239"/>
      <c r="OAI41" s="240"/>
      <c r="OAJ41" s="239"/>
      <c r="OAK41" s="240"/>
      <c r="OAL41" s="239"/>
      <c r="OAM41" s="240"/>
      <c r="OAN41" s="239"/>
      <c r="OAO41" s="240"/>
      <c r="OAP41" s="239"/>
      <c r="OAQ41" s="240"/>
      <c r="OAR41" s="239"/>
      <c r="OAS41" s="240"/>
      <c r="OAT41" s="239"/>
      <c r="OAU41" s="240"/>
      <c r="OAV41" s="239"/>
      <c r="OAW41" s="240"/>
      <c r="OAX41" s="239"/>
      <c r="OAY41" s="240"/>
      <c r="OAZ41" s="239"/>
      <c r="OBA41" s="240"/>
      <c r="OBB41" s="239"/>
      <c r="OBC41" s="240"/>
      <c r="OBD41" s="239"/>
      <c r="OBE41" s="240"/>
      <c r="OBF41" s="239"/>
      <c r="OBG41" s="240"/>
      <c r="OBH41" s="239"/>
      <c r="OBI41" s="240"/>
      <c r="OBJ41" s="239"/>
      <c r="OBK41" s="240"/>
      <c r="OBL41" s="239"/>
      <c r="OBM41" s="240"/>
      <c r="OBN41" s="239"/>
      <c r="OBO41" s="240"/>
      <c r="OBP41" s="239"/>
      <c r="OBQ41" s="240"/>
      <c r="OBR41" s="239"/>
      <c r="OBS41" s="240"/>
      <c r="OBT41" s="239"/>
      <c r="OBU41" s="240"/>
      <c r="OBV41" s="239"/>
      <c r="OBW41" s="240"/>
      <c r="OBX41" s="239"/>
      <c r="OBY41" s="240"/>
      <c r="OBZ41" s="239"/>
      <c r="OCA41" s="240"/>
      <c r="OCB41" s="239"/>
      <c r="OCC41" s="240"/>
      <c r="OCD41" s="239"/>
      <c r="OCE41" s="240"/>
      <c r="OCF41" s="239"/>
      <c r="OCG41" s="240"/>
      <c r="OCH41" s="239"/>
      <c r="OCI41" s="240"/>
      <c r="OCJ41" s="239"/>
      <c r="OCK41" s="240"/>
      <c r="OCL41" s="239"/>
      <c r="OCM41" s="240"/>
      <c r="OCN41" s="239"/>
      <c r="OCO41" s="240"/>
      <c r="OCP41" s="239"/>
      <c r="OCQ41" s="240"/>
      <c r="OCR41" s="239"/>
      <c r="OCS41" s="240"/>
      <c r="OCT41" s="239"/>
      <c r="OCU41" s="240"/>
      <c r="OCV41" s="239"/>
      <c r="OCW41" s="240"/>
      <c r="OCX41" s="239"/>
      <c r="OCY41" s="240"/>
      <c r="OCZ41" s="239"/>
      <c r="ODA41" s="240"/>
      <c r="ODB41" s="239"/>
      <c r="ODC41" s="240"/>
      <c r="ODD41" s="239"/>
      <c r="ODE41" s="240"/>
      <c r="ODF41" s="239"/>
      <c r="ODG41" s="240"/>
      <c r="ODH41" s="239"/>
      <c r="ODI41" s="240"/>
      <c r="ODJ41" s="239"/>
      <c r="ODK41" s="240"/>
      <c r="ODL41" s="239"/>
      <c r="ODM41" s="240"/>
      <c r="ODN41" s="239"/>
      <c r="ODO41" s="240"/>
      <c r="ODP41" s="239"/>
      <c r="ODQ41" s="240"/>
      <c r="ODR41" s="239"/>
      <c r="ODS41" s="240"/>
      <c r="ODT41" s="239"/>
      <c r="ODU41" s="240"/>
      <c r="ODV41" s="239"/>
      <c r="ODW41" s="240"/>
      <c r="ODX41" s="239"/>
      <c r="ODY41" s="240"/>
      <c r="ODZ41" s="239"/>
      <c r="OEA41" s="240"/>
      <c r="OEB41" s="239"/>
      <c r="OEC41" s="240"/>
      <c r="OED41" s="239"/>
      <c r="OEE41" s="240"/>
      <c r="OEF41" s="239"/>
      <c r="OEG41" s="240"/>
      <c r="OEH41" s="239"/>
      <c r="OEI41" s="240"/>
      <c r="OEJ41" s="239"/>
      <c r="OEK41" s="240"/>
      <c r="OEL41" s="239"/>
      <c r="OEM41" s="240"/>
      <c r="OEN41" s="239"/>
      <c r="OEO41" s="240"/>
      <c r="OEP41" s="239"/>
      <c r="OEQ41" s="240"/>
      <c r="OER41" s="239"/>
      <c r="OES41" s="240"/>
      <c r="OET41" s="239"/>
      <c r="OEU41" s="240"/>
      <c r="OEV41" s="239"/>
      <c r="OEW41" s="240"/>
      <c r="OEX41" s="239"/>
      <c r="OEY41" s="240"/>
      <c r="OEZ41" s="239"/>
      <c r="OFA41" s="240"/>
      <c r="OFB41" s="239"/>
      <c r="OFC41" s="240"/>
      <c r="OFD41" s="239"/>
      <c r="OFE41" s="240"/>
      <c r="OFF41" s="239"/>
      <c r="OFG41" s="240"/>
      <c r="OFH41" s="239"/>
      <c r="OFI41" s="240"/>
      <c r="OFJ41" s="239"/>
      <c r="OFK41" s="240"/>
      <c r="OFL41" s="239"/>
      <c r="OFM41" s="240"/>
      <c r="OFN41" s="239"/>
      <c r="OFO41" s="240"/>
      <c r="OFP41" s="239"/>
      <c r="OFQ41" s="240"/>
      <c r="OFR41" s="239"/>
      <c r="OFS41" s="240"/>
      <c r="OFT41" s="239"/>
      <c r="OFU41" s="240"/>
      <c r="OFV41" s="239"/>
      <c r="OFW41" s="240"/>
      <c r="OFX41" s="239"/>
      <c r="OFY41" s="240"/>
      <c r="OFZ41" s="239"/>
      <c r="OGA41" s="240"/>
      <c r="OGB41" s="239"/>
      <c r="OGC41" s="240"/>
      <c r="OGD41" s="239"/>
      <c r="OGE41" s="240"/>
      <c r="OGF41" s="239"/>
      <c r="OGG41" s="240"/>
      <c r="OGH41" s="239"/>
      <c r="OGI41" s="240"/>
      <c r="OGJ41" s="239"/>
      <c r="OGK41" s="240"/>
      <c r="OGL41" s="239"/>
      <c r="OGM41" s="240"/>
      <c r="OGN41" s="239"/>
      <c r="OGO41" s="240"/>
      <c r="OGP41" s="239"/>
      <c r="OGQ41" s="240"/>
      <c r="OGR41" s="239"/>
      <c r="OGS41" s="240"/>
      <c r="OGT41" s="239"/>
      <c r="OGU41" s="240"/>
      <c r="OGV41" s="239"/>
      <c r="OGW41" s="240"/>
      <c r="OGX41" s="239"/>
      <c r="OGY41" s="240"/>
      <c r="OGZ41" s="239"/>
      <c r="OHA41" s="240"/>
      <c r="OHB41" s="239"/>
      <c r="OHC41" s="240"/>
      <c r="OHD41" s="239"/>
      <c r="OHE41" s="240"/>
      <c r="OHF41" s="239"/>
      <c r="OHG41" s="240"/>
      <c r="OHH41" s="239"/>
      <c r="OHI41" s="240"/>
      <c r="OHJ41" s="239"/>
      <c r="OHK41" s="240"/>
      <c r="OHL41" s="239"/>
      <c r="OHM41" s="240"/>
      <c r="OHN41" s="239"/>
      <c r="OHO41" s="240"/>
      <c r="OHP41" s="239"/>
      <c r="OHQ41" s="240"/>
      <c r="OHR41" s="239"/>
      <c r="OHS41" s="240"/>
      <c r="OHT41" s="239"/>
      <c r="OHU41" s="240"/>
      <c r="OHV41" s="239"/>
      <c r="OHW41" s="240"/>
      <c r="OHX41" s="239"/>
      <c r="OHY41" s="240"/>
      <c r="OHZ41" s="239"/>
      <c r="OIA41" s="240"/>
      <c r="OIB41" s="239"/>
      <c r="OIC41" s="240"/>
      <c r="OID41" s="239"/>
      <c r="OIE41" s="240"/>
      <c r="OIF41" s="239"/>
      <c r="OIG41" s="240"/>
      <c r="OIH41" s="239"/>
      <c r="OII41" s="240"/>
      <c r="OIJ41" s="239"/>
      <c r="OIK41" s="240"/>
      <c r="OIL41" s="239"/>
      <c r="OIM41" s="240"/>
      <c r="OIN41" s="239"/>
      <c r="OIO41" s="240"/>
      <c r="OIP41" s="239"/>
      <c r="OIQ41" s="240"/>
      <c r="OIR41" s="239"/>
      <c r="OIS41" s="240"/>
      <c r="OIT41" s="239"/>
      <c r="OIU41" s="240"/>
      <c r="OIV41" s="239"/>
      <c r="OIW41" s="240"/>
      <c r="OIX41" s="239"/>
      <c r="OIY41" s="240"/>
      <c r="OIZ41" s="239"/>
      <c r="OJA41" s="240"/>
      <c r="OJB41" s="239"/>
      <c r="OJC41" s="240"/>
      <c r="OJD41" s="239"/>
      <c r="OJE41" s="240"/>
      <c r="OJF41" s="239"/>
      <c r="OJG41" s="240"/>
      <c r="OJH41" s="239"/>
      <c r="OJI41" s="240"/>
      <c r="OJJ41" s="239"/>
      <c r="OJK41" s="240"/>
      <c r="OJL41" s="239"/>
      <c r="OJM41" s="240"/>
      <c r="OJN41" s="239"/>
      <c r="OJO41" s="240"/>
      <c r="OJP41" s="239"/>
      <c r="OJQ41" s="240"/>
      <c r="OJR41" s="239"/>
      <c r="OJS41" s="240"/>
      <c r="OJT41" s="239"/>
      <c r="OJU41" s="240"/>
      <c r="OJV41" s="239"/>
      <c r="OJW41" s="240"/>
      <c r="OJX41" s="239"/>
      <c r="OJY41" s="240"/>
      <c r="OJZ41" s="239"/>
      <c r="OKA41" s="240"/>
      <c r="OKB41" s="239"/>
      <c r="OKC41" s="240"/>
      <c r="OKD41" s="239"/>
      <c r="OKE41" s="240"/>
      <c r="OKF41" s="239"/>
      <c r="OKG41" s="240"/>
      <c r="OKH41" s="239"/>
      <c r="OKI41" s="240"/>
      <c r="OKJ41" s="239"/>
      <c r="OKK41" s="240"/>
      <c r="OKL41" s="239"/>
      <c r="OKM41" s="240"/>
      <c r="OKN41" s="239"/>
      <c r="OKO41" s="240"/>
      <c r="OKP41" s="239"/>
      <c r="OKQ41" s="240"/>
      <c r="OKR41" s="239"/>
      <c r="OKS41" s="240"/>
      <c r="OKT41" s="239"/>
      <c r="OKU41" s="240"/>
      <c r="OKV41" s="239"/>
      <c r="OKW41" s="240"/>
      <c r="OKX41" s="239"/>
      <c r="OKY41" s="240"/>
      <c r="OKZ41" s="239"/>
      <c r="OLA41" s="240"/>
      <c r="OLB41" s="239"/>
      <c r="OLC41" s="240"/>
      <c r="OLD41" s="239"/>
      <c r="OLE41" s="240"/>
      <c r="OLF41" s="239"/>
      <c r="OLG41" s="240"/>
      <c r="OLH41" s="239"/>
      <c r="OLI41" s="240"/>
      <c r="OLJ41" s="239"/>
      <c r="OLK41" s="240"/>
      <c r="OLL41" s="239"/>
      <c r="OLM41" s="240"/>
      <c r="OLN41" s="239"/>
      <c r="OLO41" s="240"/>
      <c r="OLP41" s="239"/>
      <c r="OLQ41" s="240"/>
      <c r="OLR41" s="239"/>
      <c r="OLS41" s="240"/>
      <c r="OLT41" s="239"/>
      <c r="OLU41" s="240"/>
      <c r="OLV41" s="239"/>
      <c r="OLW41" s="240"/>
      <c r="OLX41" s="239"/>
      <c r="OLY41" s="240"/>
      <c r="OLZ41" s="239"/>
      <c r="OMA41" s="240"/>
      <c r="OMB41" s="239"/>
      <c r="OMC41" s="240"/>
      <c r="OMD41" s="239"/>
      <c r="OME41" s="240"/>
      <c r="OMF41" s="239"/>
      <c r="OMG41" s="240"/>
      <c r="OMH41" s="239"/>
      <c r="OMI41" s="240"/>
      <c r="OMJ41" s="239"/>
      <c r="OMK41" s="240"/>
      <c r="OML41" s="239"/>
      <c r="OMM41" s="240"/>
      <c r="OMN41" s="239"/>
      <c r="OMO41" s="240"/>
      <c r="OMP41" s="239"/>
      <c r="OMQ41" s="240"/>
      <c r="OMR41" s="239"/>
      <c r="OMS41" s="240"/>
      <c r="OMT41" s="239"/>
      <c r="OMU41" s="240"/>
      <c r="OMV41" s="239"/>
      <c r="OMW41" s="240"/>
      <c r="OMX41" s="239"/>
      <c r="OMY41" s="240"/>
      <c r="OMZ41" s="239"/>
      <c r="ONA41" s="240"/>
      <c r="ONB41" s="239"/>
      <c r="ONC41" s="240"/>
      <c r="OND41" s="239"/>
      <c r="ONE41" s="240"/>
      <c r="ONF41" s="239"/>
      <c r="ONG41" s="240"/>
      <c r="ONH41" s="239"/>
      <c r="ONI41" s="240"/>
      <c r="ONJ41" s="239"/>
      <c r="ONK41" s="240"/>
      <c r="ONL41" s="239"/>
      <c r="ONM41" s="240"/>
      <c r="ONN41" s="239"/>
      <c r="ONO41" s="240"/>
      <c r="ONP41" s="239"/>
      <c r="ONQ41" s="240"/>
      <c r="ONR41" s="239"/>
      <c r="ONS41" s="240"/>
      <c r="ONT41" s="239"/>
      <c r="ONU41" s="240"/>
      <c r="ONV41" s="239"/>
      <c r="ONW41" s="240"/>
      <c r="ONX41" s="239"/>
      <c r="ONY41" s="240"/>
      <c r="ONZ41" s="239"/>
      <c r="OOA41" s="240"/>
      <c r="OOB41" s="239"/>
      <c r="OOC41" s="240"/>
      <c r="OOD41" s="239"/>
      <c r="OOE41" s="240"/>
      <c r="OOF41" s="239"/>
      <c r="OOG41" s="240"/>
      <c r="OOH41" s="239"/>
      <c r="OOI41" s="240"/>
      <c r="OOJ41" s="239"/>
      <c r="OOK41" s="240"/>
      <c r="OOL41" s="239"/>
      <c r="OOM41" s="240"/>
      <c r="OON41" s="239"/>
      <c r="OOO41" s="240"/>
      <c r="OOP41" s="239"/>
      <c r="OOQ41" s="240"/>
      <c r="OOR41" s="239"/>
      <c r="OOS41" s="240"/>
      <c r="OOT41" s="239"/>
      <c r="OOU41" s="240"/>
      <c r="OOV41" s="239"/>
      <c r="OOW41" s="240"/>
      <c r="OOX41" s="239"/>
      <c r="OOY41" s="240"/>
      <c r="OOZ41" s="239"/>
      <c r="OPA41" s="240"/>
      <c r="OPB41" s="239"/>
      <c r="OPC41" s="240"/>
      <c r="OPD41" s="239"/>
      <c r="OPE41" s="240"/>
      <c r="OPF41" s="239"/>
      <c r="OPG41" s="240"/>
      <c r="OPH41" s="239"/>
      <c r="OPI41" s="240"/>
      <c r="OPJ41" s="239"/>
      <c r="OPK41" s="240"/>
      <c r="OPL41" s="239"/>
      <c r="OPM41" s="240"/>
      <c r="OPN41" s="239"/>
      <c r="OPO41" s="240"/>
      <c r="OPP41" s="239"/>
      <c r="OPQ41" s="240"/>
      <c r="OPR41" s="239"/>
      <c r="OPS41" s="240"/>
      <c r="OPT41" s="239"/>
      <c r="OPU41" s="240"/>
      <c r="OPV41" s="239"/>
      <c r="OPW41" s="240"/>
      <c r="OPX41" s="239"/>
      <c r="OPY41" s="240"/>
      <c r="OPZ41" s="239"/>
      <c r="OQA41" s="240"/>
      <c r="OQB41" s="239"/>
      <c r="OQC41" s="240"/>
      <c r="OQD41" s="239"/>
      <c r="OQE41" s="240"/>
      <c r="OQF41" s="239"/>
      <c r="OQG41" s="240"/>
      <c r="OQH41" s="239"/>
      <c r="OQI41" s="240"/>
      <c r="OQJ41" s="239"/>
      <c r="OQK41" s="240"/>
      <c r="OQL41" s="239"/>
      <c r="OQM41" s="240"/>
      <c r="OQN41" s="239"/>
      <c r="OQO41" s="240"/>
      <c r="OQP41" s="239"/>
      <c r="OQQ41" s="240"/>
      <c r="OQR41" s="239"/>
      <c r="OQS41" s="240"/>
      <c r="OQT41" s="239"/>
      <c r="OQU41" s="240"/>
      <c r="OQV41" s="239"/>
      <c r="OQW41" s="240"/>
      <c r="OQX41" s="239"/>
      <c r="OQY41" s="240"/>
      <c r="OQZ41" s="239"/>
      <c r="ORA41" s="240"/>
      <c r="ORB41" s="239"/>
      <c r="ORC41" s="240"/>
      <c r="ORD41" s="239"/>
      <c r="ORE41" s="240"/>
      <c r="ORF41" s="239"/>
      <c r="ORG41" s="240"/>
      <c r="ORH41" s="239"/>
      <c r="ORI41" s="240"/>
      <c r="ORJ41" s="239"/>
      <c r="ORK41" s="240"/>
      <c r="ORL41" s="239"/>
      <c r="ORM41" s="240"/>
      <c r="ORN41" s="239"/>
      <c r="ORO41" s="240"/>
      <c r="ORP41" s="239"/>
      <c r="ORQ41" s="240"/>
      <c r="ORR41" s="239"/>
      <c r="ORS41" s="240"/>
      <c r="ORT41" s="239"/>
      <c r="ORU41" s="240"/>
      <c r="ORV41" s="239"/>
      <c r="ORW41" s="240"/>
      <c r="ORX41" s="239"/>
      <c r="ORY41" s="240"/>
      <c r="ORZ41" s="239"/>
      <c r="OSA41" s="240"/>
      <c r="OSB41" s="239"/>
      <c r="OSC41" s="240"/>
      <c r="OSD41" s="239"/>
      <c r="OSE41" s="240"/>
      <c r="OSF41" s="239"/>
      <c r="OSG41" s="240"/>
      <c r="OSH41" s="239"/>
      <c r="OSI41" s="240"/>
      <c r="OSJ41" s="239"/>
      <c r="OSK41" s="240"/>
      <c r="OSL41" s="239"/>
      <c r="OSM41" s="240"/>
      <c r="OSN41" s="239"/>
      <c r="OSO41" s="240"/>
      <c r="OSP41" s="239"/>
      <c r="OSQ41" s="240"/>
      <c r="OSR41" s="239"/>
      <c r="OSS41" s="240"/>
      <c r="OST41" s="239"/>
      <c r="OSU41" s="240"/>
      <c r="OSV41" s="239"/>
      <c r="OSW41" s="240"/>
      <c r="OSX41" s="239"/>
      <c r="OSY41" s="240"/>
      <c r="OSZ41" s="239"/>
      <c r="OTA41" s="240"/>
      <c r="OTB41" s="239"/>
      <c r="OTC41" s="240"/>
      <c r="OTD41" s="239"/>
      <c r="OTE41" s="240"/>
      <c r="OTF41" s="239"/>
      <c r="OTG41" s="240"/>
      <c r="OTH41" s="239"/>
      <c r="OTI41" s="240"/>
      <c r="OTJ41" s="239"/>
      <c r="OTK41" s="240"/>
      <c r="OTL41" s="239"/>
      <c r="OTM41" s="240"/>
      <c r="OTN41" s="239"/>
      <c r="OTO41" s="240"/>
      <c r="OTP41" s="239"/>
      <c r="OTQ41" s="240"/>
      <c r="OTR41" s="239"/>
      <c r="OTS41" s="240"/>
      <c r="OTT41" s="239"/>
      <c r="OTU41" s="240"/>
      <c r="OTV41" s="239"/>
      <c r="OTW41" s="240"/>
      <c r="OTX41" s="239"/>
      <c r="OTY41" s="240"/>
      <c r="OTZ41" s="239"/>
      <c r="OUA41" s="240"/>
      <c r="OUB41" s="239"/>
      <c r="OUC41" s="240"/>
      <c r="OUD41" s="239"/>
      <c r="OUE41" s="240"/>
      <c r="OUF41" s="239"/>
      <c r="OUG41" s="240"/>
      <c r="OUH41" s="239"/>
      <c r="OUI41" s="240"/>
      <c r="OUJ41" s="239"/>
      <c r="OUK41" s="240"/>
      <c r="OUL41" s="239"/>
      <c r="OUM41" s="240"/>
      <c r="OUN41" s="239"/>
      <c r="OUO41" s="240"/>
      <c r="OUP41" s="239"/>
      <c r="OUQ41" s="240"/>
      <c r="OUR41" s="239"/>
      <c r="OUS41" s="240"/>
      <c r="OUT41" s="239"/>
      <c r="OUU41" s="240"/>
      <c r="OUV41" s="239"/>
      <c r="OUW41" s="240"/>
      <c r="OUX41" s="239"/>
      <c r="OUY41" s="240"/>
      <c r="OUZ41" s="239"/>
      <c r="OVA41" s="240"/>
      <c r="OVB41" s="239"/>
      <c r="OVC41" s="240"/>
      <c r="OVD41" s="239"/>
      <c r="OVE41" s="240"/>
      <c r="OVF41" s="239"/>
      <c r="OVG41" s="240"/>
      <c r="OVH41" s="239"/>
      <c r="OVI41" s="240"/>
      <c r="OVJ41" s="239"/>
      <c r="OVK41" s="240"/>
      <c r="OVL41" s="239"/>
      <c r="OVM41" s="240"/>
      <c r="OVN41" s="239"/>
      <c r="OVO41" s="240"/>
      <c r="OVP41" s="239"/>
      <c r="OVQ41" s="240"/>
      <c r="OVR41" s="239"/>
      <c r="OVS41" s="240"/>
      <c r="OVT41" s="239"/>
      <c r="OVU41" s="240"/>
      <c r="OVV41" s="239"/>
      <c r="OVW41" s="240"/>
      <c r="OVX41" s="239"/>
      <c r="OVY41" s="240"/>
      <c r="OVZ41" s="239"/>
      <c r="OWA41" s="240"/>
      <c r="OWB41" s="239"/>
      <c r="OWC41" s="240"/>
      <c r="OWD41" s="239"/>
      <c r="OWE41" s="240"/>
      <c r="OWF41" s="239"/>
      <c r="OWG41" s="240"/>
      <c r="OWH41" s="239"/>
      <c r="OWI41" s="240"/>
      <c r="OWJ41" s="239"/>
      <c r="OWK41" s="240"/>
      <c r="OWL41" s="239"/>
      <c r="OWM41" s="240"/>
      <c r="OWN41" s="239"/>
      <c r="OWO41" s="240"/>
      <c r="OWP41" s="239"/>
      <c r="OWQ41" s="240"/>
      <c r="OWR41" s="239"/>
      <c r="OWS41" s="240"/>
      <c r="OWT41" s="239"/>
      <c r="OWU41" s="240"/>
      <c r="OWV41" s="239"/>
      <c r="OWW41" s="240"/>
      <c r="OWX41" s="239"/>
      <c r="OWY41" s="240"/>
      <c r="OWZ41" s="239"/>
      <c r="OXA41" s="240"/>
      <c r="OXB41" s="239"/>
      <c r="OXC41" s="240"/>
      <c r="OXD41" s="239"/>
      <c r="OXE41" s="240"/>
      <c r="OXF41" s="239"/>
      <c r="OXG41" s="240"/>
      <c r="OXH41" s="239"/>
      <c r="OXI41" s="240"/>
      <c r="OXJ41" s="239"/>
      <c r="OXK41" s="240"/>
      <c r="OXL41" s="239"/>
      <c r="OXM41" s="240"/>
      <c r="OXN41" s="239"/>
      <c r="OXO41" s="240"/>
      <c r="OXP41" s="239"/>
      <c r="OXQ41" s="240"/>
      <c r="OXR41" s="239"/>
      <c r="OXS41" s="240"/>
      <c r="OXT41" s="239"/>
      <c r="OXU41" s="240"/>
      <c r="OXV41" s="239"/>
      <c r="OXW41" s="240"/>
      <c r="OXX41" s="239"/>
      <c r="OXY41" s="240"/>
      <c r="OXZ41" s="239"/>
      <c r="OYA41" s="240"/>
      <c r="OYB41" s="239"/>
      <c r="OYC41" s="240"/>
      <c r="OYD41" s="239"/>
      <c r="OYE41" s="240"/>
      <c r="OYF41" s="239"/>
      <c r="OYG41" s="240"/>
      <c r="OYH41" s="239"/>
      <c r="OYI41" s="240"/>
      <c r="OYJ41" s="239"/>
      <c r="OYK41" s="240"/>
      <c r="OYL41" s="239"/>
      <c r="OYM41" s="240"/>
      <c r="OYN41" s="239"/>
      <c r="OYO41" s="240"/>
      <c r="OYP41" s="239"/>
      <c r="OYQ41" s="240"/>
      <c r="OYR41" s="239"/>
      <c r="OYS41" s="240"/>
      <c r="OYT41" s="239"/>
      <c r="OYU41" s="240"/>
      <c r="OYV41" s="239"/>
      <c r="OYW41" s="240"/>
      <c r="OYX41" s="239"/>
      <c r="OYY41" s="240"/>
      <c r="OYZ41" s="239"/>
      <c r="OZA41" s="240"/>
      <c r="OZB41" s="239"/>
      <c r="OZC41" s="240"/>
      <c r="OZD41" s="239"/>
      <c r="OZE41" s="240"/>
      <c r="OZF41" s="239"/>
      <c r="OZG41" s="240"/>
      <c r="OZH41" s="239"/>
      <c r="OZI41" s="240"/>
      <c r="OZJ41" s="239"/>
      <c r="OZK41" s="240"/>
      <c r="OZL41" s="239"/>
      <c r="OZM41" s="240"/>
      <c r="OZN41" s="239"/>
      <c r="OZO41" s="240"/>
      <c r="OZP41" s="239"/>
      <c r="OZQ41" s="240"/>
      <c r="OZR41" s="239"/>
      <c r="OZS41" s="240"/>
      <c r="OZT41" s="239"/>
      <c r="OZU41" s="240"/>
      <c r="OZV41" s="239"/>
      <c r="OZW41" s="240"/>
      <c r="OZX41" s="239"/>
      <c r="OZY41" s="240"/>
      <c r="OZZ41" s="239"/>
      <c r="PAA41" s="240"/>
      <c r="PAB41" s="239"/>
      <c r="PAC41" s="240"/>
      <c r="PAD41" s="239"/>
      <c r="PAE41" s="240"/>
      <c r="PAF41" s="239"/>
      <c r="PAG41" s="240"/>
      <c r="PAH41" s="239"/>
      <c r="PAI41" s="240"/>
      <c r="PAJ41" s="239"/>
      <c r="PAK41" s="240"/>
      <c r="PAL41" s="239"/>
      <c r="PAM41" s="240"/>
      <c r="PAN41" s="239"/>
      <c r="PAO41" s="240"/>
      <c r="PAP41" s="239"/>
      <c r="PAQ41" s="240"/>
      <c r="PAR41" s="239"/>
      <c r="PAS41" s="240"/>
      <c r="PAT41" s="239"/>
      <c r="PAU41" s="240"/>
      <c r="PAV41" s="239"/>
      <c r="PAW41" s="240"/>
      <c r="PAX41" s="239"/>
      <c r="PAY41" s="240"/>
      <c r="PAZ41" s="239"/>
      <c r="PBA41" s="240"/>
      <c r="PBB41" s="239"/>
      <c r="PBC41" s="240"/>
      <c r="PBD41" s="239"/>
      <c r="PBE41" s="240"/>
      <c r="PBF41" s="239"/>
      <c r="PBG41" s="240"/>
      <c r="PBH41" s="239"/>
      <c r="PBI41" s="240"/>
      <c r="PBJ41" s="239"/>
      <c r="PBK41" s="240"/>
      <c r="PBL41" s="239"/>
      <c r="PBM41" s="240"/>
      <c r="PBN41" s="239"/>
      <c r="PBO41" s="240"/>
      <c r="PBP41" s="239"/>
      <c r="PBQ41" s="240"/>
      <c r="PBR41" s="239"/>
      <c r="PBS41" s="240"/>
      <c r="PBT41" s="239"/>
      <c r="PBU41" s="240"/>
      <c r="PBV41" s="239"/>
      <c r="PBW41" s="240"/>
      <c r="PBX41" s="239"/>
      <c r="PBY41" s="240"/>
      <c r="PBZ41" s="239"/>
      <c r="PCA41" s="240"/>
      <c r="PCB41" s="239"/>
      <c r="PCC41" s="240"/>
      <c r="PCD41" s="239"/>
      <c r="PCE41" s="240"/>
      <c r="PCF41" s="239"/>
      <c r="PCG41" s="240"/>
      <c r="PCH41" s="239"/>
      <c r="PCI41" s="240"/>
      <c r="PCJ41" s="239"/>
      <c r="PCK41" s="240"/>
      <c r="PCL41" s="239"/>
      <c r="PCM41" s="240"/>
      <c r="PCN41" s="239"/>
      <c r="PCO41" s="240"/>
      <c r="PCP41" s="239"/>
      <c r="PCQ41" s="240"/>
      <c r="PCR41" s="239"/>
      <c r="PCS41" s="240"/>
      <c r="PCT41" s="239"/>
      <c r="PCU41" s="240"/>
      <c r="PCV41" s="239"/>
      <c r="PCW41" s="240"/>
      <c r="PCX41" s="239"/>
      <c r="PCY41" s="240"/>
      <c r="PCZ41" s="239"/>
      <c r="PDA41" s="240"/>
      <c r="PDB41" s="239"/>
      <c r="PDC41" s="240"/>
      <c r="PDD41" s="239"/>
      <c r="PDE41" s="240"/>
      <c r="PDF41" s="239"/>
      <c r="PDG41" s="240"/>
      <c r="PDH41" s="239"/>
      <c r="PDI41" s="240"/>
      <c r="PDJ41" s="239"/>
      <c r="PDK41" s="240"/>
      <c r="PDL41" s="239"/>
      <c r="PDM41" s="240"/>
      <c r="PDN41" s="239"/>
      <c r="PDO41" s="240"/>
      <c r="PDP41" s="239"/>
      <c r="PDQ41" s="240"/>
      <c r="PDR41" s="239"/>
      <c r="PDS41" s="240"/>
      <c r="PDT41" s="239"/>
      <c r="PDU41" s="240"/>
      <c r="PDV41" s="239"/>
      <c r="PDW41" s="240"/>
      <c r="PDX41" s="239"/>
      <c r="PDY41" s="240"/>
      <c r="PDZ41" s="239"/>
      <c r="PEA41" s="240"/>
      <c r="PEB41" s="239"/>
      <c r="PEC41" s="240"/>
      <c r="PED41" s="239"/>
      <c r="PEE41" s="240"/>
      <c r="PEF41" s="239"/>
      <c r="PEG41" s="240"/>
      <c r="PEH41" s="239"/>
      <c r="PEI41" s="240"/>
      <c r="PEJ41" s="239"/>
      <c r="PEK41" s="240"/>
      <c r="PEL41" s="239"/>
      <c r="PEM41" s="240"/>
      <c r="PEN41" s="239"/>
      <c r="PEO41" s="240"/>
      <c r="PEP41" s="239"/>
      <c r="PEQ41" s="240"/>
      <c r="PER41" s="239"/>
      <c r="PES41" s="240"/>
      <c r="PET41" s="239"/>
      <c r="PEU41" s="240"/>
      <c r="PEV41" s="239"/>
      <c r="PEW41" s="240"/>
      <c r="PEX41" s="239"/>
      <c r="PEY41" s="240"/>
      <c r="PEZ41" s="239"/>
      <c r="PFA41" s="240"/>
      <c r="PFB41" s="239"/>
      <c r="PFC41" s="240"/>
      <c r="PFD41" s="239"/>
      <c r="PFE41" s="240"/>
      <c r="PFF41" s="239"/>
      <c r="PFG41" s="240"/>
      <c r="PFH41" s="239"/>
      <c r="PFI41" s="240"/>
      <c r="PFJ41" s="239"/>
      <c r="PFK41" s="240"/>
      <c r="PFL41" s="239"/>
      <c r="PFM41" s="240"/>
      <c r="PFN41" s="239"/>
      <c r="PFO41" s="240"/>
      <c r="PFP41" s="239"/>
      <c r="PFQ41" s="240"/>
      <c r="PFR41" s="239"/>
      <c r="PFS41" s="240"/>
      <c r="PFT41" s="239"/>
      <c r="PFU41" s="240"/>
      <c r="PFV41" s="239"/>
      <c r="PFW41" s="240"/>
      <c r="PFX41" s="239"/>
      <c r="PFY41" s="240"/>
      <c r="PFZ41" s="239"/>
      <c r="PGA41" s="240"/>
      <c r="PGB41" s="239"/>
      <c r="PGC41" s="240"/>
      <c r="PGD41" s="239"/>
      <c r="PGE41" s="240"/>
      <c r="PGF41" s="239"/>
      <c r="PGG41" s="240"/>
      <c r="PGH41" s="239"/>
      <c r="PGI41" s="240"/>
      <c r="PGJ41" s="239"/>
      <c r="PGK41" s="240"/>
      <c r="PGL41" s="239"/>
      <c r="PGM41" s="240"/>
      <c r="PGN41" s="239"/>
      <c r="PGO41" s="240"/>
      <c r="PGP41" s="239"/>
      <c r="PGQ41" s="240"/>
      <c r="PGR41" s="239"/>
      <c r="PGS41" s="240"/>
      <c r="PGT41" s="239"/>
      <c r="PGU41" s="240"/>
      <c r="PGV41" s="239"/>
      <c r="PGW41" s="240"/>
      <c r="PGX41" s="239"/>
      <c r="PGY41" s="240"/>
      <c r="PGZ41" s="239"/>
      <c r="PHA41" s="240"/>
      <c r="PHB41" s="239"/>
      <c r="PHC41" s="240"/>
      <c r="PHD41" s="239"/>
      <c r="PHE41" s="240"/>
      <c r="PHF41" s="239"/>
      <c r="PHG41" s="240"/>
      <c r="PHH41" s="239"/>
      <c r="PHI41" s="240"/>
      <c r="PHJ41" s="239"/>
      <c r="PHK41" s="240"/>
      <c r="PHL41" s="239"/>
      <c r="PHM41" s="240"/>
      <c r="PHN41" s="239"/>
      <c r="PHO41" s="240"/>
      <c r="PHP41" s="239"/>
      <c r="PHQ41" s="240"/>
      <c r="PHR41" s="239"/>
      <c r="PHS41" s="240"/>
      <c r="PHT41" s="239"/>
      <c r="PHU41" s="240"/>
      <c r="PHV41" s="239"/>
      <c r="PHW41" s="240"/>
      <c r="PHX41" s="239"/>
      <c r="PHY41" s="240"/>
      <c r="PHZ41" s="239"/>
      <c r="PIA41" s="240"/>
      <c r="PIB41" s="239"/>
      <c r="PIC41" s="240"/>
      <c r="PID41" s="239"/>
      <c r="PIE41" s="240"/>
      <c r="PIF41" s="239"/>
      <c r="PIG41" s="240"/>
      <c r="PIH41" s="239"/>
      <c r="PII41" s="240"/>
      <c r="PIJ41" s="239"/>
      <c r="PIK41" s="240"/>
      <c r="PIL41" s="239"/>
      <c r="PIM41" s="240"/>
      <c r="PIN41" s="239"/>
      <c r="PIO41" s="240"/>
      <c r="PIP41" s="239"/>
      <c r="PIQ41" s="240"/>
      <c r="PIR41" s="239"/>
      <c r="PIS41" s="240"/>
      <c r="PIT41" s="239"/>
      <c r="PIU41" s="240"/>
      <c r="PIV41" s="239"/>
      <c r="PIW41" s="240"/>
      <c r="PIX41" s="239"/>
      <c r="PIY41" s="240"/>
      <c r="PIZ41" s="239"/>
      <c r="PJA41" s="240"/>
      <c r="PJB41" s="239"/>
      <c r="PJC41" s="240"/>
      <c r="PJD41" s="239"/>
      <c r="PJE41" s="240"/>
      <c r="PJF41" s="239"/>
      <c r="PJG41" s="240"/>
      <c r="PJH41" s="239"/>
      <c r="PJI41" s="240"/>
      <c r="PJJ41" s="239"/>
      <c r="PJK41" s="240"/>
      <c r="PJL41" s="239"/>
      <c r="PJM41" s="240"/>
      <c r="PJN41" s="239"/>
      <c r="PJO41" s="240"/>
      <c r="PJP41" s="239"/>
      <c r="PJQ41" s="240"/>
      <c r="PJR41" s="239"/>
      <c r="PJS41" s="240"/>
      <c r="PJT41" s="239"/>
      <c r="PJU41" s="240"/>
      <c r="PJV41" s="239"/>
      <c r="PJW41" s="240"/>
      <c r="PJX41" s="239"/>
      <c r="PJY41" s="240"/>
      <c r="PJZ41" s="239"/>
      <c r="PKA41" s="240"/>
      <c r="PKB41" s="239"/>
      <c r="PKC41" s="240"/>
      <c r="PKD41" s="239"/>
      <c r="PKE41" s="240"/>
      <c r="PKF41" s="239"/>
      <c r="PKG41" s="240"/>
      <c r="PKH41" s="239"/>
      <c r="PKI41" s="240"/>
      <c r="PKJ41" s="239"/>
      <c r="PKK41" s="240"/>
      <c r="PKL41" s="239"/>
      <c r="PKM41" s="240"/>
      <c r="PKN41" s="239"/>
      <c r="PKO41" s="240"/>
      <c r="PKP41" s="239"/>
      <c r="PKQ41" s="240"/>
      <c r="PKR41" s="239"/>
      <c r="PKS41" s="240"/>
      <c r="PKT41" s="239"/>
      <c r="PKU41" s="240"/>
      <c r="PKV41" s="239"/>
      <c r="PKW41" s="240"/>
      <c r="PKX41" s="239"/>
      <c r="PKY41" s="240"/>
      <c r="PKZ41" s="239"/>
      <c r="PLA41" s="240"/>
      <c r="PLB41" s="239"/>
      <c r="PLC41" s="240"/>
      <c r="PLD41" s="239"/>
      <c r="PLE41" s="240"/>
      <c r="PLF41" s="239"/>
      <c r="PLG41" s="240"/>
      <c r="PLH41" s="239"/>
      <c r="PLI41" s="240"/>
      <c r="PLJ41" s="239"/>
      <c r="PLK41" s="240"/>
      <c r="PLL41" s="239"/>
      <c r="PLM41" s="240"/>
      <c r="PLN41" s="239"/>
      <c r="PLO41" s="240"/>
      <c r="PLP41" s="239"/>
      <c r="PLQ41" s="240"/>
      <c r="PLR41" s="239"/>
      <c r="PLS41" s="240"/>
      <c r="PLT41" s="239"/>
      <c r="PLU41" s="240"/>
      <c r="PLV41" s="239"/>
      <c r="PLW41" s="240"/>
      <c r="PLX41" s="239"/>
      <c r="PLY41" s="240"/>
      <c r="PLZ41" s="239"/>
      <c r="PMA41" s="240"/>
      <c r="PMB41" s="239"/>
      <c r="PMC41" s="240"/>
      <c r="PMD41" s="239"/>
      <c r="PME41" s="240"/>
      <c r="PMF41" s="239"/>
      <c r="PMG41" s="240"/>
      <c r="PMH41" s="239"/>
      <c r="PMI41" s="240"/>
      <c r="PMJ41" s="239"/>
      <c r="PMK41" s="240"/>
      <c r="PML41" s="239"/>
      <c r="PMM41" s="240"/>
      <c r="PMN41" s="239"/>
      <c r="PMO41" s="240"/>
      <c r="PMP41" s="239"/>
      <c r="PMQ41" s="240"/>
      <c r="PMR41" s="239"/>
      <c r="PMS41" s="240"/>
      <c r="PMT41" s="239"/>
      <c r="PMU41" s="240"/>
      <c r="PMV41" s="239"/>
      <c r="PMW41" s="240"/>
      <c r="PMX41" s="239"/>
      <c r="PMY41" s="240"/>
      <c r="PMZ41" s="239"/>
      <c r="PNA41" s="240"/>
      <c r="PNB41" s="239"/>
      <c r="PNC41" s="240"/>
      <c r="PND41" s="239"/>
      <c r="PNE41" s="240"/>
      <c r="PNF41" s="239"/>
      <c r="PNG41" s="240"/>
      <c r="PNH41" s="239"/>
      <c r="PNI41" s="240"/>
      <c r="PNJ41" s="239"/>
      <c r="PNK41" s="240"/>
      <c r="PNL41" s="239"/>
      <c r="PNM41" s="240"/>
      <c r="PNN41" s="239"/>
      <c r="PNO41" s="240"/>
      <c r="PNP41" s="239"/>
      <c r="PNQ41" s="240"/>
      <c r="PNR41" s="239"/>
      <c r="PNS41" s="240"/>
      <c r="PNT41" s="239"/>
      <c r="PNU41" s="240"/>
      <c r="PNV41" s="239"/>
      <c r="PNW41" s="240"/>
      <c r="PNX41" s="239"/>
      <c r="PNY41" s="240"/>
      <c r="PNZ41" s="239"/>
      <c r="POA41" s="240"/>
      <c r="POB41" s="239"/>
      <c r="POC41" s="240"/>
      <c r="POD41" s="239"/>
      <c r="POE41" s="240"/>
      <c r="POF41" s="239"/>
      <c r="POG41" s="240"/>
      <c r="POH41" s="239"/>
      <c r="POI41" s="240"/>
      <c r="POJ41" s="239"/>
      <c r="POK41" s="240"/>
      <c r="POL41" s="239"/>
      <c r="POM41" s="240"/>
      <c r="PON41" s="239"/>
      <c r="POO41" s="240"/>
      <c r="POP41" s="239"/>
      <c r="POQ41" s="240"/>
      <c r="POR41" s="239"/>
      <c r="POS41" s="240"/>
      <c r="POT41" s="239"/>
      <c r="POU41" s="240"/>
      <c r="POV41" s="239"/>
      <c r="POW41" s="240"/>
      <c r="POX41" s="239"/>
      <c r="POY41" s="240"/>
      <c r="POZ41" s="239"/>
      <c r="PPA41" s="240"/>
      <c r="PPB41" s="239"/>
      <c r="PPC41" s="240"/>
      <c r="PPD41" s="239"/>
      <c r="PPE41" s="240"/>
      <c r="PPF41" s="239"/>
      <c r="PPG41" s="240"/>
      <c r="PPH41" s="239"/>
      <c r="PPI41" s="240"/>
      <c r="PPJ41" s="239"/>
      <c r="PPK41" s="240"/>
      <c r="PPL41" s="239"/>
      <c r="PPM41" s="240"/>
      <c r="PPN41" s="239"/>
      <c r="PPO41" s="240"/>
      <c r="PPP41" s="239"/>
      <c r="PPQ41" s="240"/>
      <c r="PPR41" s="239"/>
      <c r="PPS41" s="240"/>
      <c r="PPT41" s="239"/>
      <c r="PPU41" s="240"/>
      <c r="PPV41" s="239"/>
      <c r="PPW41" s="240"/>
      <c r="PPX41" s="239"/>
      <c r="PPY41" s="240"/>
      <c r="PPZ41" s="239"/>
      <c r="PQA41" s="240"/>
      <c r="PQB41" s="239"/>
      <c r="PQC41" s="240"/>
      <c r="PQD41" s="239"/>
      <c r="PQE41" s="240"/>
      <c r="PQF41" s="239"/>
      <c r="PQG41" s="240"/>
      <c r="PQH41" s="239"/>
      <c r="PQI41" s="240"/>
      <c r="PQJ41" s="239"/>
      <c r="PQK41" s="240"/>
      <c r="PQL41" s="239"/>
      <c r="PQM41" s="240"/>
      <c r="PQN41" s="239"/>
      <c r="PQO41" s="240"/>
      <c r="PQP41" s="239"/>
      <c r="PQQ41" s="240"/>
      <c r="PQR41" s="239"/>
      <c r="PQS41" s="240"/>
      <c r="PQT41" s="239"/>
      <c r="PQU41" s="240"/>
      <c r="PQV41" s="239"/>
      <c r="PQW41" s="240"/>
      <c r="PQX41" s="239"/>
      <c r="PQY41" s="240"/>
      <c r="PQZ41" s="239"/>
      <c r="PRA41" s="240"/>
      <c r="PRB41" s="239"/>
      <c r="PRC41" s="240"/>
      <c r="PRD41" s="239"/>
      <c r="PRE41" s="240"/>
      <c r="PRF41" s="239"/>
      <c r="PRG41" s="240"/>
      <c r="PRH41" s="239"/>
      <c r="PRI41" s="240"/>
      <c r="PRJ41" s="239"/>
      <c r="PRK41" s="240"/>
      <c r="PRL41" s="239"/>
      <c r="PRM41" s="240"/>
      <c r="PRN41" s="239"/>
      <c r="PRO41" s="240"/>
      <c r="PRP41" s="239"/>
      <c r="PRQ41" s="240"/>
      <c r="PRR41" s="239"/>
      <c r="PRS41" s="240"/>
      <c r="PRT41" s="239"/>
      <c r="PRU41" s="240"/>
      <c r="PRV41" s="239"/>
      <c r="PRW41" s="240"/>
      <c r="PRX41" s="239"/>
      <c r="PRY41" s="240"/>
      <c r="PRZ41" s="239"/>
      <c r="PSA41" s="240"/>
      <c r="PSB41" s="239"/>
      <c r="PSC41" s="240"/>
      <c r="PSD41" s="239"/>
      <c r="PSE41" s="240"/>
      <c r="PSF41" s="239"/>
      <c r="PSG41" s="240"/>
      <c r="PSH41" s="239"/>
      <c r="PSI41" s="240"/>
      <c r="PSJ41" s="239"/>
      <c r="PSK41" s="240"/>
      <c r="PSL41" s="239"/>
      <c r="PSM41" s="240"/>
      <c r="PSN41" s="239"/>
      <c r="PSO41" s="240"/>
      <c r="PSP41" s="239"/>
      <c r="PSQ41" s="240"/>
      <c r="PSR41" s="239"/>
      <c r="PSS41" s="240"/>
      <c r="PST41" s="239"/>
      <c r="PSU41" s="240"/>
      <c r="PSV41" s="239"/>
      <c r="PSW41" s="240"/>
      <c r="PSX41" s="239"/>
      <c r="PSY41" s="240"/>
      <c r="PSZ41" s="239"/>
      <c r="PTA41" s="240"/>
      <c r="PTB41" s="239"/>
      <c r="PTC41" s="240"/>
      <c r="PTD41" s="239"/>
      <c r="PTE41" s="240"/>
      <c r="PTF41" s="239"/>
      <c r="PTG41" s="240"/>
      <c r="PTH41" s="239"/>
      <c r="PTI41" s="240"/>
      <c r="PTJ41" s="239"/>
      <c r="PTK41" s="240"/>
      <c r="PTL41" s="239"/>
      <c r="PTM41" s="240"/>
      <c r="PTN41" s="239"/>
      <c r="PTO41" s="240"/>
      <c r="PTP41" s="239"/>
      <c r="PTQ41" s="240"/>
      <c r="PTR41" s="239"/>
      <c r="PTS41" s="240"/>
      <c r="PTT41" s="239"/>
      <c r="PTU41" s="240"/>
      <c r="PTV41" s="239"/>
      <c r="PTW41" s="240"/>
      <c r="PTX41" s="239"/>
      <c r="PTY41" s="240"/>
      <c r="PTZ41" s="239"/>
      <c r="PUA41" s="240"/>
      <c r="PUB41" s="239"/>
      <c r="PUC41" s="240"/>
      <c r="PUD41" s="239"/>
      <c r="PUE41" s="240"/>
      <c r="PUF41" s="239"/>
      <c r="PUG41" s="240"/>
      <c r="PUH41" s="239"/>
      <c r="PUI41" s="240"/>
      <c r="PUJ41" s="239"/>
      <c r="PUK41" s="240"/>
      <c r="PUL41" s="239"/>
      <c r="PUM41" s="240"/>
      <c r="PUN41" s="239"/>
      <c r="PUO41" s="240"/>
      <c r="PUP41" s="239"/>
      <c r="PUQ41" s="240"/>
      <c r="PUR41" s="239"/>
      <c r="PUS41" s="240"/>
      <c r="PUT41" s="239"/>
      <c r="PUU41" s="240"/>
      <c r="PUV41" s="239"/>
      <c r="PUW41" s="240"/>
      <c r="PUX41" s="239"/>
      <c r="PUY41" s="240"/>
      <c r="PUZ41" s="239"/>
      <c r="PVA41" s="240"/>
      <c r="PVB41" s="239"/>
      <c r="PVC41" s="240"/>
      <c r="PVD41" s="239"/>
      <c r="PVE41" s="240"/>
      <c r="PVF41" s="239"/>
      <c r="PVG41" s="240"/>
      <c r="PVH41" s="239"/>
      <c r="PVI41" s="240"/>
      <c r="PVJ41" s="239"/>
      <c r="PVK41" s="240"/>
      <c r="PVL41" s="239"/>
      <c r="PVM41" s="240"/>
      <c r="PVN41" s="239"/>
      <c r="PVO41" s="240"/>
      <c r="PVP41" s="239"/>
      <c r="PVQ41" s="240"/>
      <c r="PVR41" s="239"/>
      <c r="PVS41" s="240"/>
      <c r="PVT41" s="239"/>
      <c r="PVU41" s="240"/>
      <c r="PVV41" s="239"/>
      <c r="PVW41" s="240"/>
      <c r="PVX41" s="239"/>
      <c r="PVY41" s="240"/>
      <c r="PVZ41" s="239"/>
      <c r="PWA41" s="240"/>
      <c r="PWB41" s="239"/>
      <c r="PWC41" s="240"/>
      <c r="PWD41" s="239"/>
      <c r="PWE41" s="240"/>
      <c r="PWF41" s="239"/>
      <c r="PWG41" s="240"/>
      <c r="PWH41" s="239"/>
      <c r="PWI41" s="240"/>
      <c r="PWJ41" s="239"/>
      <c r="PWK41" s="240"/>
      <c r="PWL41" s="239"/>
      <c r="PWM41" s="240"/>
      <c r="PWN41" s="239"/>
      <c r="PWO41" s="240"/>
      <c r="PWP41" s="239"/>
      <c r="PWQ41" s="240"/>
      <c r="PWR41" s="239"/>
      <c r="PWS41" s="240"/>
      <c r="PWT41" s="239"/>
      <c r="PWU41" s="240"/>
      <c r="PWV41" s="239"/>
      <c r="PWW41" s="240"/>
      <c r="PWX41" s="239"/>
      <c r="PWY41" s="240"/>
      <c r="PWZ41" s="239"/>
      <c r="PXA41" s="240"/>
      <c r="PXB41" s="239"/>
      <c r="PXC41" s="240"/>
      <c r="PXD41" s="239"/>
      <c r="PXE41" s="240"/>
      <c r="PXF41" s="239"/>
      <c r="PXG41" s="240"/>
      <c r="PXH41" s="239"/>
      <c r="PXI41" s="240"/>
      <c r="PXJ41" s="239"/>
      <c r="PXK41" s="240"/>
      <c r="PXL41" s="239"/>
      <c r="PXM41" s="240"/>
      <c r="PXN41" s="239"/>
      <c r="PXO41" s="240"/>
      <c r="PXP41" s="239"/>
      <c r="PXQ41" s="240"/>
      <c r="PXR41" s="239"/>
      <c r="PXS41" s="240"/>
      <c r="PXT41" s="239"/>
      <c r="PXU41" s="240"/>
      <c r="PXV41" s="239"/>
      <c r="PXW41" s="240"/>
      <c r="PXX41" s="239"/>
      <c r="PXY41" s="240"/>
      <c r="PXZ41" s="239"/>
      <c r="PYA41" s="240"/>
      <c r="PYB41" s="239"/>
      <c r="PYC41" s="240"/>
      <c r="PYD41" s="239"/>
      <c r="PYE41" s="240"/>
      <c r="PYF41" s="239"/>
      <c r="PYG41" s="240"/>
      <c r="PYH41" s="239"/>
      <c r="PYI41" s="240"/>
      <c r="PYJ41" s="239"/>
      <c r="PYK41" s="240"/>
      <c r="PYL41" s="239"/>
      <c r="PYM41" s="240"/>
      <c r="PYN41" s="239"/>
      <c r="PYO41" s="240"/>
      <c r="PYP41" s="239"/>
      <c r="PYQ41" s="240"/>
      <c r="PYR41" s="239"/>
      <c r="PYS41" s="240"/>
      <c r="PYT41" s="239"/>
      <c r="PYU41" s="240"/>
      <c r="PYV41" s="239"/>
      <c r="PYW41" s="240"/>
      <c r="PYX41" s="239"/>
      <c r="PYY41" s="240"/>
      <c r="PYZ41" s="239"/>
      <c r="PZA41" s="240"/>
      <c r="PZB41" s="239"/>
      <c r="PZC41" s="240"/>
      <c r="PZD41" s="239"/>
      <c r="PZE41" s="240"/>
      <c r="PZF41" s="239"/>
      <c r="PZG41" s="240"/>
      <c r="PZH41" s="239"/>
      <c r="PZI41" s="240"/>
      <c r="PZJ41" s="239"/>
      <c r="PZK41" s="240"/>
      <c r="PZL41" s="239"/>
      <c r="PZM41" s="240"/>
      <c r="PZN41" s="239"/>
      <c r="PZO41" s="240"/>
      <c r="PZP41" s="239"/>
      <c r="PZQ41" s="240"/>
      <c r="PZR41" s="239"/>
      <c r="PZS41" s="240"/>
      <c r="PZT41" s="239"/>
      <c r="PZU41" s="240"/>
      <c r="PZV41" s="239"/>
      <c r="PZW41" s="240"/>
      <c r="PZX41" s="239"/>
      <c r="PZY41" s="240"/>
      <c r="PZZ41" s="239"/>
      <c r="QAA41" s="240"/>
      <c r="QAB41" s="239"/>
      <c r="QAC41" s="240"/>
      <c r="QAD41" s="239"/>
      <c r="QAE41" s="240"/>
      <c r="QAF41" s="239"/>
      <c r="QAG41" s="240"/>
      <c r="QAH41" s="239"/>
      <c r="QAI41" s="240"/>
      <c r="QAJ41" s="239"/>
      <c r="QAK41" s="240"/>
      <c r="QAL41" s="239"/>
      <c r="QAM41" s="240"/>
      <c r="QAN41" s="239"/>
      <c r="QAO41" s="240"/>
      <c r="QAP41" s="239"/>
      <c r="QAQ41" s="240"/>
      <c r="QAR41" s="239"/>
      <c r="QAS41" s="240"/>
      <c r="QAT41" s="239"/>
      <c r="QAU41" s="240"/>
      <c r="QAV41" s="239"/>
      <c r="QAW41" s="240"/>
      <c r="QAX41" s="239"/>
      <c r="QAY41" s="240"/>
      <c r="QAZ41" s="239"/>
      <c r="QBA41" s="240"/>
      <c r="QBB41" s="239"/>
      <c r="QBC41" s="240"/>
      <c r="QBD41" s="239"/>
      <c r="QBE41" s="240"/>
      <c r="QBF41" s="239"/>
      <c r="QBG41" s="240"/>
      <c r="QBH41" s="239"/>
      <c r="QBI41" s="240"/>
      <c r="QBJ41" s="239"/>
      <c r="QBK41" s="240"/>
      <c r="QBL41" s="239"/>
      <c r="QBM41" s="240"/>
      <c r="QBN41" s="239"/>
      <c r="QBO41" s="240"/>
      <c r="QBP41" s="239"/>
      <c r="QBQ41" s="240"/>
      <c r="QBR41" s="239"/>
      <c r="QBS41" s="240"/>
      <c r="QBT41" s="239"/>
      <c r="QBU41" s="240"/>
      <c r="QBV41" s="239"/>
      <c r="QBW41" s="240"/>
      <c r="QBX41" s="239"/>
      <c r="QBY41" s="240"/>
      <c r="QBZ41" s="239"/>
      <c r="QCA41" s="240"/>
      <c r="QCB41" s="239"/>
      <c r="QCC41" s="240"/>
      <c r="QCD41" s="239"/>
      <c r="QCE41" s="240"/>
      <c r="QCF41" s="239"/>
      <c r="QCG41" s="240"/>
      <c r="QCH41" s="239"/>
      <c r="QCI41" s="240"/>
      <c r="QCJ41" s="239"/>
      <c r="QCK41" s="240"/>
      <c r="QCL41" s="239"/>
      <c r="QCM41" s="240"/>
      <c r="QCN41" s="239"/>
      <c r="QCO41" s="240"/>
      <c r="QCP41" s="239"/>
      <c r="QCQ41" s="240"/>
      <c r="QCR41" s="239"/>
      <c r="QCS41" s="240"/>
      <c r="QCT41" s="239"/>
      <c r="QCU41" s="240"/>
      <c r="QCV41" s="239"/>
      <c r="QCW41" s="240"/>
      <c r="QCX41" s="239"/>
      <c r="QCY41" s="240"/>
      <c r="QCZ41" s="239"/>
      <c r="QDA41" s="240"/>
      <c r="QDB41" s="239"/>
      <c r="QDC41" s="240"/>
      <c r="QDD41" s="239"/>
      <c r="QDE41" s="240"/>
      <c r="QDF41" s="239"/>
      <c r="QDG41" s="240"/>
      <c r="QDH41" s="239"/>
      <c r="QDI41" s="240"/>
      <c r="QDJ41" s="239"/>
      <c r="QDK41" s="240"/>
      <c r="QDL41" s="239"/>
      <c r="QDM41" s="240"/>
      <c r="QDN41" s="239"/>
      <c r="QDO41" s="240"/>
      <c r="QDP41" s="239"/>
      <c r="QDQ41" s="240"/>
      <c r="QDR41" s="239"/>
      <c r="QDS41" s="240"/>
      <c r="QDT41" s="239"/>
      <c r="QDU41" s="240"/>
      <c r="QDV41" s="239"/>
      <c r="QDW41" s="240"/>
      <c r="QDX41" s="239"/>
      <c r="QDY41" s="240"/>
      <c r="QDZ41" s="239"/>
      <c r="QEA41" s="240"/>
      <c r="QEB41" s="239"/>
      <c r="QEC41" s="240"/>
      <c r="QED41" s="239"/>
      <c r="QEE41" s="240"/>
      <c r="QEF41" s="239"/>
      <c r="QEG41" s="240"/>
      <c r="QEH41" s="239"/>
      <c r="QEI41" s="240"/>
      <c r="QEJ41" s="239"/>
      <c r="QEK41" s="240"/>
      <c r="QEL41" s="239"/>
      <c r="QEM41" s="240"/>
      <c r="QEN41" s="239"/>
      <c r="QEO41" s="240"/>
      <c r="QEP41" s="239"/>
      <c r="QEQ41" s="240"/>
      <c r="QER41" s="239"/>
      <c r="QES41" s="240"/>
      <c r="QET41" s="239"/>
      <c r="QEU41" s="240"/>
      <c r="QEV41" s="239"/>
      <c r="QEW41" s="240"/>
      <c r="QEX41" s="239"/>
      <c r="QEY41" s="240"/>
      <c r="QEZ41" s="239"/>
      <c r="QFA41" s="240"/>
      <c r="QFB41" s="239"/>
      <c r="QFC41" s="240"/>
      <c r="QFD41" s="239"/>
      <c r="QFE41" s="240"/>
      <c r="QFF41" s="239"/>
      <c r="QFG41" s="240"/>
      <c r="QFH41" s="239"/>
      <c r="QFI41" s="240"/>
      <c r="QFJ41" s="239"/>
      <c r="QFK41" s="240"/>
      <c r="QFL41" s="239"/>
      <c r="QFM41" s="240"/>
      <c r="QFN41" s="239"/>
      <c r="QFO41" s="240"/>
      <c r="QFP41" s="239"/>
      <c r="QFQ41" s="240"/>
      <c r="QFR41" s="239"/>
      <c r="QFS41" s="240"/>
      <c r="QFT41" s="239"/>
      <c r="QFU41" s="240"/>
      <c r="QFV41" s="239"/>
      <c r="QFW41" s="240"/>
      <c r="QFX41" s="239"/>
      <c r="QFY41" s="240"/>
      <c r="QFZ41" s="239"/>
      <c r="QGA41" s="240"/>
      <c r="QGB41" s="239"/>
      <c r="QGC41" s="240"/>
      <c r="QGD41" s="239"/>
      <c r="QGE41" s="240"/>
      <c r="QGF41" s="239"/>
      <c r="QGG41" s="240"/>
      <c r="QGH41" s="239"/>
      <c r="QGI41" s="240"/>
      <c r="QGJ41" s="239"/>
      <c r="QGK41" s="240"/>
      <c r="QGL41" s="239"/>
      <c r="QGM41" s="240"/>
      <c r="QGN41" s="239"/>
      <c r="QGO41" s="240"/>
      <c r="QGP41" s="239"/>
      <c r="QGQ41" s="240"/>
      <c r="QGR41" s="239"/>
      <c r="QGS41" s="240"/>
      <c r="QGT41" s="239"/>
      <c r="QGU41" s="240"/>
      <c r="QGV41" s="239"/>
      <c r="QGW41" s="240"/>
      <c r="QGX41" s="239"/>
      <c r="QGY41" s="240"/>
      <c r="QGZ41" s="239"/>
      <c r="QHA41" s="240"/>
      <c r="QHB41" s="239"/>
      <c r="QHC41" s="240"/>
      <c r="QHD41" s="239"/>
      <c r="QHE41" s="240"/>
      <c r="QHF41" s="239"/>
      <c r="QHG41" s="240"/>
      <c r="QHH41" s="239"/>
      <c r="QHI41" s="240"/>
      <c r="QHJ41" s="239"/>
      <c r="QHK41" s="240"/>
      <c r="QHL41" s="239"/>
      <c r="QHM41" s="240"/>
      <c r="QHN41" s="239"/>
      <c r="QHO41" s="240"/>
      <c r="QHP41" s="239"/>
      <c r="QHQ41" s="240"/>
      <c r="QHR41" s="239"/>
      <c r="QHS41" s="240"/>
      <c r="QHT41" s="239"/>
      <c r="QHU41" s="240"/>
      <c r="QHV41" s="239"/>
      <c r="QHW41" s="240"/>
      <c r="QHX41" s="239"/>
      <c r="QHY41" s="240"/>
      <c r="QHZ41" s="239"/>
      <c r="QIA41" s="240"/>
      <c r="QIB41" s="239"/>
      <c r="QIC41" s="240"/>
      <c r="QID41" s="239"/>
      <c r="QIE41" s="240"/>
      <c r="QIF41" s="239"/>
      <c r="QIG41" s="240"/>
      <c r="QIH41" s="239"/>
      <c r="QII41" s="240"/>
      <c r="QIJ41" s="239"/>
      <c r="QIK41" s="240"/>
      <c r="QIL41" s="239"/>
      <c r="QIM41" s="240"/>
      <c r="QIN41" s="239"/>
      <c r="QIO41" s="240"/>
      <c r="QIP41" s="239"/>
      <c r="QIQ41" s="240"/>
      <c r="QIR41" s="239"/>
      <c r="QIS41" s="240"/>
      <c r="QIT41" s="239"/>
      <c r="QIU41" s="240"/>
      <c r="QIV41" s="239"/>
      <c r="QIW41" s="240"/>
      <c r="QIX41" s="239"/>
      <c r="QIY41" s="240"/>
      <c r="QIZ41" s="239"/>
      <c r="QJA41" s="240"/>
      <c r="QJB41" s="239"/>
      <c r="QJC41" s="240"/>
      <c r="QJD41" s="239"/>
      <c r="QJE41" s="240"/>
      <c r="QJF41" s="239"/>
      <c r="QJG41" s="240"/>
      <c r="QJH41" s="239"/>
      <c r="QJI41" s="240"/>
      <c r="QJJ41" s="239"/>
      <c r="QJK41" s="240"/>
      <c r="QJL41" s="239"/>
      <c r="QJM41" s="240"/>
      <c r="QJN41" s="239"/>
      <c r="QJO41" s="240"/>
      <c r="QJP41" s="239"/>
      <c r="QJQ41" s="240"/>
      <c r="QJR41" s="239"/>
      <c r="QJS41" s="240"/>
      <c r="QJT41" s="239"/>
      <c r="QJU41" s="240"/>
      <c r="QJV41" s="239"/>
      <c r="QJW41" s="240"/>
      <c r="QJX41" s="239"/>
      <c r="QJY41" s="240"/>
      <c r="QJZ41" s="239"/>
      <c r="QKA41" s="240"/>
      <c r="QKB41" s="239"/>
      <c r="QKC41" s="240"/>
      <c r="QKD41" s="239"/>
      <c r="QKE41" s="240"/>
      <c r="QKF41" s="239"/>
      <c r="QKG41" s="240"/>
      <c r="QKH41" s="239"/>
      <c r="QKI41" s="240"/>
      <c r="QKJ41" s="239"/>
      <c r="QKK41" s="240"/>
      <c r="QKL41" s="239"/>
      <c r="QKM41" s="240"/>
      <c r="QKN41" s="239"/>
      <c r="QKO41" s="240"/>
      <c r="QKP41" s="239"/>
      <c r="QKQ41" s="240"/>
      <c r="QKR41" s="239"/>
      <c r="QKS41" s="240"/>
      <c r="QKT41" s="239"/>
      <c r="QKU41" s="240"/>
      <c r="QKV41" s="239"/>
      <c r="QKW41" s="240"/>
      <c r="QKX41" s="239"/>
      <c r="QKY41" s="240"/>
      <c r="QKZ41" s="239"/>
      <c r="QLA41" s="240"/>
      <c r="QLB41" s="239"/>
      <c r="QLC41" s="240"/>
      <c r="QLD41" s="239"/>
      <c r="QLE41" s="240"/>
      <c r="QLF41" s="239"/>
      <c r="QLG41" s="240"/>
      <c r="QLH41" s="239"/>
      <c r="QLI41" s="240"/>
      <c r="QLJ41" s="239"/>
      <c r="QLK41" s="240"/>
      <c r="QLL41" s="239"/>
      <c r="QLM41" s="240"/>
      <c r="QLN41" s="239"/>
      <c r="QLO41" s="240"/>
      <c r="QLP41" s="239"/>
      <c r="QLQ41" s="240"/>
      <c r="QLR41" s="239"/>
      <c r="QLS41" s="240"/>
      <c r="QLT41" s="239"/>
      <c r="QLU41" s="240"/>
      <c r="QLV41" s="239"/>
      <c r="QLW41" s="240"/>
      <c r="QLX41" s="239"/>
      <c r="QLY41" s="240"/>
      <c r="QLZ41" s="239"/>
      <c r="QMA41" s="240"/>
      <c r="QMB41" s="239"/>
      <c r="QMC41" s="240"/>
      <c r="QMD41" s="239"/>
      <c r="QME41" s="240"/>
      <c r="QMF41" s="239"/>
      <c r="QMG41" s="240"/>
      <c r="QMH41" s="239"/>
      <c r="QMI41" s="240"/>
      <c r="QMJ41" s="239"/>
      <c r="QMK41" s="240"/>
      <c r="QML41" s="239"/>
      <c r="QMM41" s="240"/>
      <c r="QMN41" s="239"/>
      <c r="QMO41" s="240"/>
      <c r="QMP41" s="239"/>
      <c r="QMQ41" s="240"/>
      <c r="QMR41" s="239"/>
      <c r="QMS41" s="240"/>
      <c r="QMT41" s="239"/>
      <c r="QMU41" s="240"/>
      <c r="QMV41" s="239"/>
      <c r="QMW41" s="240"/>
      <c r="QMX41" s="239"/>
      <c r="QMY41" s="240"/>
      <c r="QMZ41" s="239"/>
      <c r="QNA41" s="240"/>
      <c r="QNB41" s="239"/>
      <c r="QNC41" s="240"/>
      <c r="QND41" s="239"/>
      <c r="QNE41" s="240"/>
      <c r="QNF41" s="239"/>
      <c r="QNG41" s="240"/>
      <c r="QNH41" s="239"/>
      <c r="QNI41" s="240"/>
      <c r="QNJ41" s="239"/>
      <c r="QNK41" s="240"/>
      <c r="QNL41" s="239"/>
      <c r="QNM41" s="240"/>
      <c r="QNN41" s="239"/>
      <c r="QNO41" s="240"/>
      <c r="QNP41" s="239"/>
      <c r="QNQ41" s="240"/>
      <c r="QNR41" s="239"/>
      <c r="QNS41" s="240"/>
      <c r="QNT41" s="239"/>
      <c r="QNU41" s="240"/>
      <c r="QNV41" s="239"/>
      <c r="QNW41" s="240"/>
      <c r="QNX41" s="239"/>
      <c r="QNY41" s="240"/>
      <c r="QNZ41" s="239"/>
      <c r="QOA41" s="240"/>
      <c r="QOB41" s="239"/>
      <c r="QOC41" s="240"/>
      <c r="QOD41" s="239"/>
      <c r="QOE41" s="240"/>
      <c r="QOF41" s="239"/>
      <c r="QOG41" s="240"/>
      <c r="QOH41" s="239"/>
      <c r="QOI41" s="240"/>
      <c r="QOJ41" s="239"/>
      <c r="QOK41" s="240"/>
      <c r="QOL41" s="239"/>
      <c r="QOM41" s="240"/>
      <c r="QON41" s="239"/>
      <c r="QOO41" s="240"/>
      <c r="QOP41" s="239"/>
      <c r="QOQ41" s="240"/>
      <c r="QOR41" s="239"/>
      <c r="QOS41" s="240"/>
      <c r="QOT41" s="239"/>
      <c r="QOU41" s="240"/>
      <c r="QOV41" s="239"/>
      <c r="QOW41" s="240"/>
      <c r="QOX41" s="239"/>
      <c r="QOY41" s="240"/>
      <c r="QOZ41" s="239"/>
      <c r="QPA41" s="240"/>
      <c r="QPB41" s="239"/>
      <c r="QPC41" s="240"/>
      <c r="QPD41" s="239"/>
      <c r="QPE41" s="240"/>
      <c r="QPF41" s="239"/>
      <c r="QPG41" s="240"/>
      <c r="QPH41" s="239"/>
      <c r="QPI41" s="240"/>
      <c r="QPJ41" s="239"/>
      <c r="QPK41" s="240"/>
      <c r="QPL41" s="239"/>
      <c r="QPM41" s="240"/>
      <c r="QPN41" s="239"/>
      <c r="QPO41" s="240"/>
      <c r="QPP41" s="239"/>
      <c r="QPQ41" s="240"/>
      <c r="QPR41" s="239"/>
      <c r="QPS41" s="240"/>
      <c r="QPT41" s="239"/>
      <c r="QPU41" s="240"/>
      <c r="QPV41" s="239"/>
      <c r="QPW41" s="240"/>
      <c r="QPX41" s="239"/>
      <c r="QPY41" s="240"/>
      <c r="QPZ41" s="239"/>
      <c r="QQA41" s="240"/>
      <c r="QQB41" s="239"/>
      <c r="QQC41" s="240"/>
      <c r="QQD41" s="239"/>
      <c r="QQE41" s="240"/>
      <c r="QQF41" s="239"/>
      <c r="QQG41" s="240"/>
      <c r="QQH41" s="239"/>
      <c r="QQI41" s="240"/>
      <c r="QQJ41" s="239"/>
      <c r="QQK41" s="240"/>
      <c r="QQL41" s="239"/>
      <c r="QQM41" s="240"/>
      <c r="QQN41" s="239"/>
      <c r="QQO41" s="240"/>
      <c r="QQP41" s="239"/>
      <c r="QQQ41" s="240"/>
      <c r="QQR41" s="239"/>
      <c r="QQS41" s="240"/>
      <c r="QQT41" s="239"/>
      <c r="QQU41" s="240"/>
      <c r="QQV41" s="239"/>
      <c r="QQW41" s="240"/>
      <c r="QQX41" s="239"/>
      <c r="QQY41" s="240"/>
      <c r="QQZ41" s="239"/>
      <c r="QRA41" s="240"/>
      <c r="QRB41" s="239"/>
      <c r="QRC41" s="240"/>
      <c r="QRD41" s="239"/>
      <c r="QRE41" s="240"/>
      <c r="QRF41" s="239"/>
      <c r="QRG41" s="240"/>
      <c r="QRH41" s="239"/>
      <c r="QRI41" s="240"/>
      <c r="QRJ41" s="239"/>
      <c r="QRK41" s="240"/>
      <c r="QRL41" s="239"/>
      <c r="QRM41" s="240"/>
      <c r="QRN41" s="239"/>
      <c r="QRO41" s="240"/>
      <c r="QRP41" s="239"/>
      <c r="QRQ41" s="240"/>
      <c r="QRR41" s="239"/>
      <c r="QRS41" s="240"/>
      <c r="QRT41" s="239"/>
      <c r="QRU41" s="240"/>
      <c r="QRV41" s="239"/>
      <c r="QRW41" s="240"/>
      <c r="QRX41" s="239"/>
      <c r="QRY41" s="240"/>
      <c r="QRZ41" s="239"/>
      <c r="QSA41" s="240"/>
      <c r="QSB41" s="239"/>
      <c r="QSC41" s="240"/>
      <c r="QSD41" s="239"/>
      <c r="QSE41" s="240"/>
      <c r="QSF41" s="239"/>
      <c r="QSG41" s="240"/>
      <c r="QSH41" s="239"/>
      <c r="QSI41" s="240"/>
      <c r="QSJ41" s="239"/>
      <c r="QSK41" s="240"/>
      <c r="QSL41" s="239"/>
      <c r="QSM41" s="240"/>
      <c r="QSN41" s="239"/>
      <c r="QSO41" s="240"/>
      <c r="QSP41" s="239"/>
      <c r="QSQ41" s="240"/>
      <c r="QSR41" s="239"/>
      <c r="QSS41" s="240"/>
      <c r="QST41" s="239"/>
      <c r="QSU41" s="240"/>
      <c r="QSV41" s="239"/>
      <c r="QSW41" s="240"/>
      <c r="QSX41" s="239"/>
      <c r="QSY41" s="240"/>
      <c r="QSZ41" s="239"/>
      <c r="QTA41" s="240"/>
      <c r="QTB41" s="239"/>
      <c r="QTC41" s="240"/>
      <c r="QTD41" s="239"/>
      <c r="QTE41" s="240"/>
      <c r="QTF41" s="239"/>
      <c r="QTG41" s="240"/>
      <c r="QTH41" s="239"/>
      <c r="QTI41" s="240"/>
      <c r="QTJ41" s="239"/>
      <c r="QTK41" s="240"/>
      <c r="QTL41" s="239"/>
      <c r="QTM41" s="240"/>
      <c r="QTN41" s="239"/>
      <c r="QTO41" s="240"/>
      <c r="QTP41" s="239"/>
      <c r="QTQ41" s="240"/>
      <c r="QTR41" s="239"/>
      <c r="QTS41" s="240"/>
      <c r="QTT41" s="239"/>
      <c r="QTU41" s="240"/>
      <c r="QTV41" s="239"/>
      <c r="QTW41" s="240"/>
      <c r="QTX41" s="239"/>
      <c r="QTY41" s="240"/>
      <c r="QTZ41" s="239"/>
      <c r="QUA41" s="240"/>
      <c r="QUB41" s="239"/>
      <c r="QUC41" s="240"/>
      <c r="QUD41" s="239"/>
      <c r="QUE41" s="240"/>
      <c r="QUF41" s="239"/>
      <c r="QUG41" s="240"/>
      <c r="QUH41" s="239"/>
      <c r="QUI41" s="240"/>
      <c r="QUJ41" s="239"/>
      <c r="QUK41" s="240"/>
      <c r="QUL41" s="239"/>
      <c r="QUM41" s="240"/>
      <c r="QUN41" s="239"/>
      <c r="QUO41" s="240"/>
      <c r="QUP41" s="239"/>
      <c r="QUQ41" s="240"/>
      <c r="QUR41" s="239"/>
      <c r="QUS41" s="240"/>
      <c r="QUT41" s="239"/>
      <c r="QUU41" s="240"/>
      <c r="QUV41" s="239"/>
      <c r="QUW41" s="240"/>
      <c r="QUX41" s="239"/>
      <c r="QUY41" s="240"/>
      <c r="QUZ41" s="239"/>
      <c r="QVA41" s="240"/>
      <c r="QVB41" s="239"/>
      <c r="QVC41" s="240"/>
      <c r="QVD41" s="239"/>
      <c r="QVE41" s="240"/>
      <c r="QVF41" s="239"/>
      <c r="QVG41" s="240"/>
      <c r="QVH41" s="239"/>
      <c r="QVI41" s="240"/>
      <c r="QVJ41" s="239"/>
      <c r="QVK41" s="240"/>
      <c r="QVL41" s="239"/>
      <c r="QVM41" s="240"/>
      <c r="QVN41" s="239"/>
      <c r="QVO41" s="240"/>
      <c r="QVP41" s="239"/>
      <c r="QVQ41" s="240"/>
      <c r="QVR41" s="239"/>
      <c r="QVS41" s="240"/>
      <c r="QVT41" s="239"/>
      <c r="QVU41" s="240"/>
      <c r="QVV41" s="239"/>
      <c r="QVW41" s="240"/>
      <c r="QVX41" s="239"/>
      <c r="QVY41" s="240"/>
      <c r="QVZ41" s="239"/>
      <c r="QWA41" s="240"/>
      <c r="QWB41" s="239"/>
      <c r="QWC41" s="240"/>
      <c r="QWD41" s="239"/>
      <c r="QWE41" s="240"/>
      <c r="QWF41" s="239"/>
      <c r="QWG41" s="240"/>
      <c r="QWH41" s="239"/>
      <c r="QWI41" s="240"/>
      <c r="QWJ41" s="239"/>
      <c r="QWK41" s="240"/>
      <c r="QWL41" s="239"/>
      <c r="QWM41" s="240"/>
      <c r="QWN41" s="239"/>
      <c r="QWO41" s="240"/>
      <c r="QWP41" s="239"/>
      <c r="QWQ41" s="240"/>
      <c r="QWR41" s="239"/>
      <c r="QWS41" s="240"/>
      <c r="QWT41" s="239"/>
      <c r="QWU41" s="240"/>
      <c r="QWV41" s="239"/>
      <c r="QWW41" s="240"/>
      <c r="QWX41" s="239"/>
      <c r="QWY41" s="240"/>
      <c r="QWZ41" s="239"/>
      <c r="QXA41" s="240"/>
      <c r="QXB41" s="239"/>
      <c r="QXC41" s="240"/>
      <c r="QXD41" s="239"/>
      <c r="QXE41" s="240"/>
      <c r="QXF41" s="239"/>
      <c r="QXG41" s="240"/>
      <c r="QXH41" s="239"/>
      <c r="QXI41" s="240"/>
      <c r="QXJ41" s="239"/>
      <c r="QXK41" s="240"/>
      <c r="QXL41" s="239"/>
      <c r="QXM41" s="240"/>
      <c r="QXN41" s="239"/>
      <c r="QXO41" s="240"/>
      <c r="QXP41" s="239"/>
      <c r="QXQ41" s="240"/>
      <c r="QXR41" s="239"/>
      <c r="QXS41" s="240"/>
      <c r="QXT41" s="239"/>
      <c r="QXU41" s="240"/>
      <c r="QXV41" s="239"/>
      <c r="QXW41" s="240"/>
      <c r="QXX41" s="239"/>
      <c r="QXY41" s="240"/>
      <c r="QXZ41" s="239"/>
      <c r="QYA41" s="240"/>
      <c r="QYB41" s="239"/>
      <c r="QYC41" s="240"/>
      <c r="QYD41" s="239"/>
      <c r="QYE41" s="240"/>
      <c r="QYF41" s="239"/>
      <c r="QYG41" s="240"/>
      <c r="QYH41" s="239"/>
      <c r="QYI41" s="240"/>
      <c r="QYJ41" s="239"/>
      <c r="QYK41" s="240"/>
      <c r="QYL41" s="239"/>
      <c r="QYM41" s="240"/>
      <c r="QYN41" s="239"/>
      <c r="QYO41" s="240"/>
      <c r="QYP41" s="239"/>
      <c r="QYQ41" s="240"/>
      <c r="QYR41" s="239"/>
      <c r="QYS41" s="240"/>
      <c r="QYT41" s="239"/>
      <c r="QYU41" s="240"/>
      <c r="QYV41" s="239"/>
      <c r="QYW41" s="240"/>
      <c r="QYX41" s="239"/>
      <c r="QYY41" s="240"/>
      <c r="QYZ41" s="239"/>
      <c r="QZA41" s="240"/>
      <c r="QZB41" s="239"/>
      <c r="QZC41" s="240"/>
      <c r="QZD41" s="239"/>
      <c r="QZE41" s="240"/>
      <c r="QZF41" s="239"/>
      <c r="QZG41" s="240"/>
      <c r="QZH41" s="239"/>
      <c r="QZI41" s="240"/>
      <c r="QZJ41" s="239"/>
      <c r="QZK41" s="240"/>
      <c r="QZL41" s="239"/>
      <c r="QZM41" s="240"/>
      <c r="QZN41" s="239"/>
      <c r="QZO41" s="240"/>
      <c r="QZP41" s="239"/>
      <c r="QZQ41" s="240"/>
      <c r="QZR41" s="239"/>
      <c r="QZS41" s="240"/>
      <c r="QZT41" s="239"/>
      <c r="QZU41" s="240"/>
      <c r="QZV41" s="239"/>
      <c r="QZW41" s="240"/>
      <c r="QZX41" s="239"/>
      <c r="QZY41" s="240"/>
      <c r="QZZ41" s="239"/>
      <c r="RAA41" s="240"/>
      <c r="RAB41" s="239"/>
      <c r="RAC41" s="240"/>
      <c r="RAD41" s="239"/>
      <c r="RAE41" s="240"/>
      <c r="RAF41" s="239"/>
      <c r="RAG41" s="240"/>
      <c r="RAH41" s="239"/>
      <c r="RAI41" s="240"/>
      <c r="RAJ41" s="239"/>
      <c r="RAK41" s="240"/>
      <c r="RAL41" s="239"/>
      <c r="RAM41" s="240"/>
      <c r="RAN41" s="239"/>
      <c r="RAO41" s="240"/>
      <c r="RAP41" s="239"/>
      <c r="RAQ41" s="240"/>
      <c r="RAR41" s="239"/>
      <c r="RAS41" s="240"/>
      <c r="RAT41" s="239"/>
      <c r="RAU41" s="240"/>
      <c r="RAV41" s="239"/>
      <c r="RAW41" s="240"/>
      <c r="RAX41" s="239"/>
      <c r="RAY41" s="240"/>
      <c r="RAZ41" s="239"/>
      <c r="RBA41" s="240"/>
      <c r="RBB41" s="239"/>
      <c r="RBC41" s="240"/>
      <c r="RBD41" s="239"/>
      <c r="RBE41" s="240"/>
      <c r="RBF41" s="239"/>
      <c r="RBG41" s="240"/>
      <c r="RBH41" s="239"/>
      <c r="RBI41" s="240"/>
      <c r="RBJ41" s="239"/>
      <c r="RBK41" s="240"/>
      <c r="RBL41" s="239"/>
      <c r="RBM41" s="240"/>
      <c r="RBN41" s="239"/>
      <c r="RBO41" s="240"/>
      <c r="RBP41" s="239"/>
      <c r="RBQ41" s="240"/>
      <c r="RBR41" s="239"/>
      <c r="RBS41" s="240"/>
      <c r="RBT41" s="239"/>
      <c r="RBU41" s="240"/>
      <c r="RBV41" s="239"/>
      <c r="RBW41" s="240"/>
      <c r="RBX41" s="239"/>
      <c r="RBY41" s="240"/>
      <c r="RBZ41" s="239"/>
      <c r="RCA41" s="240"/>
      <c r="RCB41" s="239"/>
      <c r="RCC41" s="240"/>
      <c r="RCD41" s="239"/>
      <c r="RCE41" s="240"/>
      <c r="RCF41" s="239"/>
      <c r="RCG41" s="240"/>
      <c r="RCH41" s="239"/>
      <c r="RCI41" s="240"/>
      <c r="RCJ41" s="239"/>
      <c r="RCK41" s="240"/>
      <c r="RCL41" s="239"/>
      <c r="RCM41" s="240"/>
      <c r="RCN41" s="239"/>
      <c r="RCO41" s="240"/>
      <c r="RCP41" s="239"/>
      <c r="RCQ41" s="240"/>
      <c r="RCR41" s="239"/>
      <c r="RCS41" s="240"/>
      <c r="RCT41" s="239"/>
      <c r="RCU41" s="240"/>
      <c r="RCV41" s="239"/>
      <c r="RCW41" s="240"/>
      <c r="RCX41" s="239"/>
      <c r="RCY41" s="240"/>
      <c r="RCZ41" s="239"/>
      <c r="RDA41" s="240"/>
      <c r="RDB41" s="239"/>
      <c r="RDC41" s="240"/>
      <c r="RDD41" s="239"/>
      <c r="RDE41" s="240"/>
      <c r="RDF41" s="239"/>
      <c r="RDG41" s="240"/>
      <c r="RDH41" s="239"/>
      <c r="RDI41" s="240"/>
      <c r="RDJ41" s="239"/>
      <c r="RDK41" s="240"/>
      <c r="RDL41" s="239"/>
      <c r="RDM41" s="240"/>
      <c r="RDN41" s="239"/>
      <c r="RDO41" s="240"/>
      <c r="RDP41" s="239"/>
      <c r="RDQ41" s="240"/>
      <c r="RDR41" s="239"/>
      <c r="RDS41" s="240"/>
      <c r="RDT41" s="239"/>
      <c r="RDU41" s="240"/>
      <c r="RDV41" s="239"/>
      <c r="RDW41" s="240"/>
      <c r="RDX41" s="239"/>
      <c r="RDY41" s="240"/>
      <c r="RDZ41" s="239"/>
      <c r="REA41" s="240"/>
      <c r="REB41" s="239"/>
      <c r="REC41" s="240"/>
      <c r="RED41" s="239"/>
      <c r="REE41" s="240"/>
      <c r="REF41" s="239"/>
      <c r="REG41" s="240"/>
      <c r="REH41" s="239"/>
      <c r="REI41" s="240"/>
      <c r="REJ41" s="239"/>
      <c r="REK41" s="240"/>
      <c r="REL41" s="239"/>
      <c r="REM41" s="240"/>
      <c r="REN41" s="239"/>
      <c r="REO41" s="240"/>
      <c r="REP41" s="239"/>
      <c r="REQ41" s="240"/>
      <c r="RER41" s="239"/>
      <c r="RES41" s="240"/>
      <c r="RET41" s="239"/>
      <c r="REU41" s="240"/>
      <c r="REV41" s="239"/>
      <c r="REW41" s="240"/>
      <c r="REX41" s="239"/>
      <c r="REY41" s="240"/>
      <c r="REZ41" s="239"/>
      <c r="RFA41" s="240"/>
      <c r="RFB41" s="239"/>
      <c r="RFC41" s="240"/>
      <c r="RFD41" s="239"/>
      <c r="RFE41" s="240"/>
      <c r="RFF41" s="239"/>
      <c r="RFG41" s="240"/>
      <c r="RFH41" s="239"/>
      <c r="RFI41" s="240"/>
      <c r="RFJ41" s="239"/>
      <c r="RFK41" s="240"/>
      <c r="RFL41" s="239"/>
      <c r="RFM41" s="240"/>
      <c r="RFN41" s="239"/>
      <c r="RFO41" s="240"/>
      <c r="RFP41" s="239"/>
      <c r="RFQ41" s="240"/>
      <c r="RFR41" s="239"/>
      <c r="RFS41" s="240"/>
      <c r="RFT41" s="239"/>
      <c r="RFU41" s="240"/>
      <c r="RFV41" s="239"/>
      <c r="RFW41" s="240"/>
      <c r="RFX41" s="239"/>
      <c r="RFY41" s="240"/>
      <c r="RFZ41" s="239"/>
      <c r="RGA41" s="240"/>
      <c r="RGB41" s="239"/>
      <c r="RGC41" s="240"/>
      <c r="RGD41" s="239"/>
      <c r="RGE41" s="240"/>
      <c r="RGF41" s="239"/>
      <c r="RGG41" s="240"/>
      <c r="RGH41" s="239"/>
      <c r="RGI41" s="240"/>
      <c r="RGJ41" s="239"/>
      <c r="RGK41" s="240"/>
      <c r="RGL41" s="239"/>
      <c r="RGM41" s="240"/>
      <c r="RGN41" s="239"/>
      <c r="RGO41" s="240"/>
      <c r="RGP41" s="239"/>
      <c r="RGQ41" s="240"/>
      <c r="RGR41" s="239"/>
      <c r="RGS41" s="240"/>
      <c r="RGT41" s="239"/>
      <c r="RGU41" s="240"/>
      <c r="RGV41" s="239"/>
      <c r="RGW41" s="240"/>
      <c r="RGX41" s="239"/>
      <c r="RGY41" s="240"/>
      <c r="RGZ41" s="239"/>
      <c r="RHA41" s="240"/>
      <c r="RHB41" s="239"/>
      <c r="RHC41" s="240"/>
      <c r="RHD41" s="239"/>
      <c r="RHE41" s="240"/>
      <c r="RHF41" s="239"/>
      <c r="RHG41" s="240"/>
      <c r="RHH41" s="239"/>
      <c r="RHI41" s="240"/>
      <c r="RHJ41" s="239"/>
      <c r="RHK41" s="240"/>
      <c r="RHL41" s="239"/>
      <c r="RHM41" s="240"/>
      <c r="RHN41" s="239"/>
      <c r="RHO41" s="240"/>
      <c r="RHP41" s="239"/>
      <c r="RHQ41" s="240"/>
      <c r="RHR41" s="239"/>
      <c r="RHS41" s="240"/>
      <c r="RHT41" s="239"/>
      <c r="RHU41" s="240"/>
      <c r="RHV41" s="239"/>
      <c r="RHW41" s="240"/>
      <c r="RHX41" s="239"/>
      <c r="RHY41" s="240"/>
      <c r="RHZ41" s="239"/>
      <c r="RIA41" s="240"/>
      <c r="RIB41" s="239"/>
      <c r="RIC41" s="240"/>
      <c r="RID41" s="239"/>
      <c r="RIE41" s="240"/>
      <c r="RIF41" s="239"/>
      <c r="RIG41" s="240"/>
      <c r="RIH41" s="239"/>
      <c r="RII41" s="240"/>
      <c r="RIJ41" s="239"/>
      <c r="RIK41" s="240"/>
      <c r="RIL41" s="239"/>
      <c r="RIM41" s="240"/>
      <c r="RIN41" s="239"/>
      <c r="RIO41" s="240"/>
      <c r="RIP41" s="239"/>
      <c r="RIQ41" s="240"/>
      <c r="RIR41" s="239"/>
      <c r="RIS41" s="240"/>
      <c r="RIT41" s="239"/>
      <c r="RIU41" s="240"/>
      <c r="RIV41" s="239"/>
      <c r="RIW41" s="240"/>
      <c r="RIX41" s="239"/>
      <c r="RIY41" s="240"/>
      <c r="RIZ41" s="239"/>
      <c r="RJA41" s="240"/>
      <c r="RJB41" s="239"/>
      <c r="RJC41" s="240"/>
      <c r="RJD41" s="239"/>
      <c r="RJE41" s="240"/>
      <c r="RJF41" s="239"/>
      <c r="RJG41" s="240"/>
      <c r="RJH41" s="239"/>
      <c r="RJI41" s="240"/>
      <c r="RJJ41" s="239"/>
      <c r="RJK41" s="240"/>
      <c r="RJL41" s="239"/>
      <c r="RJM41" s="240"/>
      <c r="RJN41" s="239"/>
      <c r="RJO41" s="240"/>
      <c r="RJP41" s="239"/>
      <c r="RJQ41" s="240"/>
      <c r="RJR41" s="239"/>
      <c r="RJS41" s="240"/>
      <c r="RJT41" s="239"/>
      <c r="RJU41" s="240"/>
      <c r="RJV41" s="239"/>
      <c r="RJW41" s="240"/>
      <c r="RJX41" s="239"/>
      <c r="RJY41" s="240"/>
      <c r="RJZ41" s="239"/>
      <c r="RKA41" s="240"/>
      <c r="RKB41" s="239"/>
      <c r="RKC41" s="240"/>
      <c r="RKD41" s="239"/>
      <c r="RKE41" s="240"/>
      <c r="RKF41" s="239"/>
      <c r="RKG41" s="240"/>
      <c r="RKH41" s="239"/>
      <c r="RKI41" s="240"/>
      <c r="RKJ41" s="239"/>
      <c r="RKK41" s="240"/>
      <c r="RKL41" s="239"/>
      <c r="RKM41" s="240"/>
      <c r="RKN41" s="239"/>
      <c r="RKO41" s="240"/>
      <c r="RKP41" s="239"/>
      <c r="RKQ41" s="240"/>
      <c r="RKR41" s="239"/>
      <c r="RKS41" s="240"/>
      <c r="RKT41" s="239"/>
      <c r="RKU41" s="240"/>
      <c r="RKV41" s="239"/>
      <c r="RKW41" s="240"/>
      <c r="RKX41" s="239"/>
      <c r="RKY41" s="240"/>
      <c r="RKZ41" s="239"/>
      <c r="RLA41" s="240"/>
      <c r="RLB41" s="239"/>
      <c r="RLC41" s="240"/>
      <c r="RLD41" s="239"/>
      <c r="RLE41" s="240"/>
      <c r="RLF41" s="239"/>
      <c r="RLG41" s="240"/>
      <c r="RLH41" s="239"/>
      <c r="RLI41" s="240"/>
      <c r="RLJ41" s="239"/>
      <c r="RLK41" s="240"/>
      <c r="RLL41" s="239"/>
      <c r="RLM41" s="240"/>
      <c r="RLN41" s="239"/>
      <c r="RLO41" s="240"/>
      <c r="RLP41" s="239"/>
      <c r="RLQ41" s="240"/>
      <c r="RLR41" s="239"/>
      <c r="RLS41" s="240"/>
      <c r="RLT41" s="239"/>
      <c r="RLU41" s="240"/>
      <c r="RLV41" s="239"/>
      <c r="RLW41" s="240"/>
      <c r="RLX41" s="239"/>
      <c r="RLY41" s="240"/>
      <c r="RLZ41" s="239"/>
      <c r="RMA41" s="240"/>
      <c r="RMB41" s="239"/>
      <c r="RMC41" s="240"/>
      <c r="RMD41" s="239"/>
      <c r="RME41" s="240"/>
      <c r="RMF41" s="239"/>
      <c r="RMG41" s="240"/>
      <c r="RMH41" s="239"/>
      <c r="RMI41" s="240"/>
      <c r="RMJ41" s="239"/>
      <c r="RMK41" s="240"/>
      <c r="RML41" s="239"/>
      <c r="RMM41" s="240"/>
      <c r="RMN41" s="239"/>
      <c r="RMO41" s="240"/>
      <c r="RMP41" s="239"/>
      <c r="RMQ41" s="240"/>
      <c r="RMR41" s="239"/>
      <c r="RMS41" s="240"/>
      <c r="RMT41" s="239"/>
      <c r="RMU41" s="240"/>
      <c r="RMV41" s="239"/>
      <c r="RMW41" s="240"/>
      <c r="RMX41" s="239"/>
      <c r="RMY41" s="240"/>
      <c r="RMZ41" s="239"/>
      <c r="RNA41" s="240"/>
      <c r="RNB41" s="239"/>
      <c r="RNC41" s="240"/>
      <c r="RND41" s="239"/>
      <c r="RNE41" s="240"/>
      <c r="RNF41" s="239"/>
      <c r="RNG41" s="240"/>
      <c r="RNH41" s="239"/>
      <c r="RNI41" s="240"/>
      <c r="RNJ41" s="239"/>
      <c r="RNK41" s="240"/>
      <c r="RNL41" s="239"/>
      <c r="RNM41" s="240"/>
      <c r="RNN41" s="239"/>
      <c r="RNO41" s="240"/>
      <c r="RNP41" s="239"/>
      <c r="RNQ41" s="240"/>
      <c r="RNR41" s="239"/>
      <c r="RNS41" s="240"/>
      <c r="RNT41" s="239"/>
      <c r="RNU41" s="240"/>
      <c r="RNV41" s="239"/>
      <c r="RNW41" s="240"/>
      <c r="RNX41" s="239"/>
      <c r="RNY41" s="240"/>
      <c r="RNZ41" s="239"/>
      <c r="ROA41" s="240"/>
      <c r="ROB41" s="239"/>
      <c r="ROC41" s="240"/>
      <c r="ROD41" s="239"/>
      <c r="ROE41" s="240"/>
      <c r="ROF41" s="239"/>
      <c r="ROG41" s="240"/>
      <c r="ROH41" s="239"/>
      <c r="ROI41" s="240"/>
      <c r="ROJ41" s="239"/>
      <c r="ROK41" s="240"/>
      <c r="ROL41" s="239"/>
      <c r="ROM41" s="240"/>
      <c r="RON41" s="239"/>
      <c r="ROO41" s="240"/>
      <c r="ROP41" s="239"/>
      <c r="ROQ41" s="240"/>
      <c r="ROR41" s="239"/>
      <c r="ROS41" s="240"/>
      <c r="ROT41" s="239"/>
      <c r="ROU41" s="240"/>
      <c r="ROV41" s="239"/>
      <c r="ROW41" s="240"/>
      <c r="ROX41" s="239"/>
      <c r="ROY41" s="240"/>
      <c r="ROZ41" s="239"/>
      <c r="RPA41" s="240"/>
      <c r="RPB41" s="239"/>
      <c r="RPC41" s="240"/>
      <c r="RPD41" s="239"/>
      <c r="RPE41" s="240"/>
      <c r="RPF41" s="239"/>
      <c r="RPG41" s="240"/>
      <c r="RPH41" s="239"/>
      <c r="RPI41" s="240"/>
      <c r="RPJ41" s="239"/>
      <c r="RPK41" s="240"/>
      <c r="RPL41" s="239"/>
      <c r="RPM41" s="240"/>
      <c r="RPN41" s="239"/>
      <c r="RPO41" s="240"/>
      <c r="RPP41" s="239"/>
      <c r="RPQ41" s="240"/>
      <c r="RPR41" s="239"/>
      <c r="RPS41" s="240"/>
      <c r="RPT41" s="239"/>
      <c r="RPU41" s="240"/>
      <c r="RPV41" s="239"/>
      <c r="RPW41" s="240"/>
      <c r="RPX41" s="239"/>
      <c r="RPY41" s="240"/>
      <c r="RPZ41" s="239"/>
      <c r="RQA41" s="240"/>
      <c r="RQB41" s="239"/>
      <c r="RQC41" s="240"/>
      <c r="RQD41" s="239"/>
      <c r="RQE41" s="240"/>
      <c r="RQF41" s="239"/>
      <c r="RQG41" s="240"/>
      <c r="RQH41" s="239"/>
      <c r="RQI41" s="240"/>
      <c r="RQJ41" s="239"/>
      <c r="RQK41" s="240"/>
      <c r="RQL41" s="239"/>
      <c r="RQM41" s="240"/>
      <c r="RQN41" s="239"/>
      <c r="RQO41" s="240"/>
      <c r="RQP41" s="239"/>
      <c r="RQQ41" s="240"/>
      <c r="RQR41" s="239"/>
      <c r="RQS41" s="240"/>
      <c r="RQT41" s="239"/>
      <c r="RQU41" s="240"/>
      <c r="RQV41" s="239"/>
      <c r="RQW41" s="240"/>
      <c r="RQX41" s="239"/>
      <c r="RQY41" s="240"/>
      <c r="RQZ41" s="239"/>
      <c r="RRA41" s="240"/>
      <c r="RRB41" s="239"/>
      <c r="RRC41" s="240"/>
      <c r="RRD41" s="239"/>
      <c r="RRE41" s="240"/>
      <c r="RRF41" s="239"/>
      <c r="RRG41" s="240"/>
      <c r="RRH41" s="239"/>
      <c r="RRI41" s="240"/>
      <c r="RRJ41" s="239"/>
      <c r="RRK41" s="240"/>
      <c r="RRL41" s="239"/>
      <c r="RRM41" s="240"/>
      <c r="RRN41" s="239"/>
      <c r="RRO41" s="240"/>
      <c r="RRP41" s="239"/>
      <c r="RRQ41" s="240"/>
      <c r="RRR41" s="239"/>
      <c r="RRS41" s="240"/>
      <c r="RRT41" s="239"/>
      <c r="RRU41" s="240"/>
      <c r="RRV41" s="239"/>
      <c r="RRW41" s="240"/>
      <c r="RRX41" s="239"/>
      <c r="RRY41" s="240"/>
      <c r="RRZ41" s="239"/>
      <c r="RSA41" s="240"/>
      <c r="RSB41" s="239"/>
      <c r="RSC41" s="240"/>
      <c r="RSD41" s="239"/>
      <c r="RSE41" s="240"/>
      <c r="RSF41" s="239"/>
      <c r="RSG41" s="240"/>
      <c r="RSH41" s="239"/>
      <c r="RSI41" s="240"/>
      <c r="RSJ41" s="239"/>
      <c r="RSK41" s="240"/>
      <c r="RSL41" s="239"/>
      <c r="RSM41" s="240"/>
      <c r="RSN41" s="239"/>
      <c r="RSO41" s="240"/>
      <c r="RSP41" s="239"/>
      <c r="RSQ41" s="240"/>
      <c r="RSR41" s="239"/>
      <c r="RSS41" s="240"/>
      <c r="RST41" s="239"/>
      <c r="RSU41" s="240"/>
      <c r="RSV41" s="239"/>
      <c r="RSW41" s="240"/>
      <c r="RSX41" s="239"/>
      <c r="RSY41" s="240"/>
      <c r="RSZ41" s="239"/>
      <c r="RTA41" s="240"/>
      <c r="RTB41" s="239"/>
      <c r="RTC41" s="240"/>
      <c r="RTD41" s="239"/>
      <c r="RTE41" s="240"/>
      <c r="RTF41" s="239"/>
      <c r="RTG41" s="240"/>
      <c r="RTH41" s="239"/>
      <c r="RTI41" s="240"/>
      <c r="RTJ41" s="239"/>
      <c r="RTK41" s="240"/>
      <c r="RTL41" s="239"/>
      <c r="RTM41" s="240"/>
      <c r="RTN41" s="239"/>
      <c r="RTO41" s="240"/>
      <c r="RTP41" s="239"/>
      <c r="RTQ41" s="240"/>
      <c r="RTR41" s="239"/>
      <c r="RTS41" s="240"/>
      <c r="RTT41" s="239"/>
      <c r="RTU41" s="240"/>
      <c r="RTV41" s="239"/>
      <c r="RTW41" s="240"/>
      <c r="RTX41" s="239"/>
      <c r="RTY41" s="240"/>
      <c r="RTZ41" s="239"/>
      <c r="RUA41" s="240"/>
      <c r="RUB41" s="239"/>
      <c r="RUC41" s="240"/>
      <c r="RUD41" s="239"/>
      <c r="RUE41" s="240"/>
      <c r="RUF41" s="239"/>
      <c r="RUG41" s="240"/>
      <c r="RUH41" s="239"/>
      <c r="RUI41" s="240"/>
      <c r="RUJ41" s="239"/>
      <c r="RUK41" s="240"/>
      <c r="RUL41" s="239"/>
      <c r="RUM41" s="240"/>
      <c r="RUN41" s="239"/>
      <c r="RUO41" s="240"/>
      <c r="RUP41" s="239"/>
      <c r="RUQ41" s="240"/>
      <c r="RUR41" s="239"/>
      <c r="RUS41" s="240"/>
      <c r="RUT41" s="239"/>
      <c r="RUU41" s="240"/>
      <c r="RUV41" s="239"/>
      <c r="RUW41" s="240"/>
      <c r="RUX41" s="239"/>
      <c r="RUY41" s="240"/>
      <c r="RUZ41" s="239"/>
      <c r="RVA41" s="240"/>
      <c r="RVB41" s="239"/>
      <c r="RVC41" s="240"/>
      <c r="RVD41" s="239"/>
      <c r="RVE41" s="240"/>
      <c r="RVF41" s="239"/>
      <c r="RVG41" s="240"/>
      <c r="RVH41" s="239"/>
      <c r="RVI41" s="240"/>
      <c r="RVJ41" s="239"/>
      <c r="RVK41" s="240"/>
      <c r="RVL41" s="239"/>
      <c r="RVM41" s="240"/>
      <c r="RVN41" s="239"/>
      <c r="RVO41" s="240"/>
      <c r="RVP41" s="239"/>
      <c r="RVQ41" s="240"/>
      <c r="RVR41" s="239"/>
      <c r="RVS41" s="240"/>
      <c r="RVT41" s="239"/>
      <c r="RVU41" s="240"/>
      <c r="RVV41" s="239"/>
      <c r="RVW41" s="240"/>
      <c r="RVX41" s="239"/>
      <c r="RVY41" s="240"/>
      <c r="RVZ41" s="239"/>
      <c r="RWA41" s="240"/>
      <c r="RWB41" s="239"/>
      <c r="RWC41" s="240"/>
      <c r="RWD41" s="239"/>
      <c r="RWE41" s="240"/>
      <c r="RWF41" s="239"/>
      <c r="RWG41" s="240"/>
      <c r="RWH41" s="239"/>
      <c r="RWI41" s="240"/>
      <c r="RWJ41" s="239"/>
      <c r="RWK41" s="240"/>
      <c r="RWL41" s="239"/>
      <c r="RWM41" s="240"/>
      <c r="RWN41" s="239"/>
      <c r="RWO41" s="240"/>
      <c r="RWP41" s="239"/>
      <c r="RWQ41" s="240"/>
      <c r="RWR41" s="239"/>
      <c r="RWS41" s="240"/>
      <c r="RWT41" s="239"/>
      <c r="RWU41" s="240"/>
      <c r="RWV41" s="239"/>
      <c r="RWW41" s="240"/>
      <c r="RWX41" s="239"/>
      <c r="RWY41" s="240"/>
      <c r="RWZ41" s="239"/>
      <c r="RXA41" s="240"/>
      <c r="RXB41" s="239"/>
      <c r="RXC41" s="240"/>
      <c r="RXD41" s="239"/>
      <c r="RXE41" s="240"/>
      <c r="RXF41" s="239"/>
      <c r="RXG41" s="240"/>
      <c r="RXH41" s="239"/>
      <c r="RXI41" s="240"/>
      <c r="RXJ41" s="239"/>
      <c r="RXK41" s="240"/>
      <c r="RXL41" s="239"/>
      <c r="RXM41" s="240"/>
      <c r="RXN41" s="239"/>
      <c r="RXO41" s="240"/>
      <c r="RXP41" s="239"/>
      <c r="RXQ41" s="240"/>
      <c r="RXR41" s="239"/>
      <c r="RXS41" s="240"/>
      <c r="RXT41" s="239"/>
      <c r="RXU41" s="240"/>
      <c r="RXV41" s="239"/>
      <c r="RXW41" s="240"/>
      <c r="RXX41" s="239"/>
      <c r="RXY41" s="240"/>
      <c r="RXZ41" s="239"/>
      <c r="RYA41" s="240"/>
      <c r="RYB41" s="239"/>
      <c r="RYC41" s="240"/>
      <c r="RYD41" s="239"/>
      <c r="RYE41" s="240"/>
      <c r="RYF41" s="239"/>
      <c r="RYG41" s="240"/>
      <c r="RYH41" s="239"/>
      <c r="RYI41" s="240"/>
      <c r="RYJ41" s="239"/>
      <c r="RYK41" s="240"/>
      <c r="RYL41" s="239"/>
      <c r="RYM41" s="240"/>
      <c r="RYN41" s="239"/>
      <c r="RYO41" s="240"/>
      <c r="RYP41" s="239"/>
      <c r="RYQ41" s="240"/>
      <c r="RYR41" s="239"/>
      <c r="RYS41" s="240"/>
      <c r="RYT41" s="239"/>
      <c r="RYU41" s="240"/>
      <c r="RYV41" s="239"/>
      <c r="RYW41" s="240"/>
      <c r="RYX41" s="239"/>
      <c r="RYY41" s="240"/>
      <c r="RYZ41" s="239"/>
      <c r="RZA41" s="240"/>
      <c r="RZB41" s="239"/>
      <c r="RZC41" s="240"/>
      <c r="RZD41" s="239"/>
      <c r="RZE41" s="240"/>
      <c r="RZF41" s="239"/>
      <c r="RZG41" s="240"/>
      <c r="RZH41" s="239"/>
      <c r="RZI41" s="240"/>
      <c r="RZJ41" s="239"/>
      <c r="RZK41" s="240"/>
      <c r="RZL41" s="239"/>
      <c r="RZM41" s="240"/>
      <c r="RZN41" s="239"/>
      <c r="RZO41" s="240"/>
      <c r="RZP41" s="239"/>
      <c r="RZQ41" s="240"/>
      <c r="RZR41" s="239"/>
      <c r="RZS41" s="240"/>
      <c r="RZT41" s="239"/>
      <c r="RZU41" s="240"/>
      <c r="RZV41" s="239"/>
      <c r="RZW41" s="240"/>
      <c r="RZX41" s="239"/>
      <c r="RZY41" s="240"/>
      <c r="RZZ41" s="239"/>
      <c r="SAA41" s="240"/>
      <c r="SAB41" s="239"/>
      <c r="SAC41" s="240"/>
      <c r="SAD41" s="239"/>
      <c r="SAE41" s="240"/>
      <c r="SAF41" s="239"/>
      <c r="SAG41" s="240"/>
      <c r="SAH41" s="239"/>
      <c r="SAI41" s="240"/>
      <c r="SAJ41" s="239"/>
      <c r="SAK41" s="240"/>
      <c r="SAL41" s="239"/>
      <c r="SAM41" s="240"/>
      <c r="SAN41" s="239"/>
      <c r="SAO41" s="240"/>
      <c r="SAP41" s="239"/>
      <c r="SAQ41" s="240"/>
      <c r="SAR41" s="239"/>
      <c r="SAS41" s="240"/>
      <c r="SAT41" s="239"/>
      <c r="SAU41" s="240"/>
      <c r="SAV41" s="239"/>
      <c r="SAW41" s="240"/>
      <c r="SAX41" s="239"/>
      <c r="SAY41" s="240"/>
      <c r="SAZ41" s="239"/>
      <c r="SBA41" s="240"/>
      <c r="SBB41" s="239"/>
      <c r="SBC41" s="240"/>
      <c r="SBD41" s="239"/>
      <c r="SBE41" s="240"/>
      <c r="SBF41" s="239"/>
      <c r="SBG41" s="240"/>
      <c r="SBH41" s="239"/>
      <c r="SBI41" s="240"/>
      <c r="SBJ41" s="239"/>
      <c r="SBK41" s="240"/>
      <c r="SBL41" s="239"/>
      <c r="SBM41" s="240"/>
      <c r="SBN41" s="239"/>
      <c r="SBO41" s="240"/>
      <c r="SBP41" s="239"/>
      <c r="SBQ41" s="240"/>
      <c r="SBR41" s="239"/>
      <c r="SBS41" s="240"/>
      <c r="SBT41" s="239"/>
      <c r="SBU41" s="240"/>
      <c r="SBV41" s="239"/>
      <c r="SBW41" s="240"/>
      <c r="SBX41" s="239"/>
      <c r="SBY41" s="240"/>
      <c r="SBZ41" s="239"/>
      <c r="SCA41" s="240"/>
      <c r="SCB41" s="239"/>
      <c r="SCC41" s="240"/>
      <c r="SCD41" s="239"/>
      <c r="SCE41" s="240"/>
      <c r="SCF41" s="239"/>
      <c r="SCG41" s="240"/>
      <c r="SCH41" s="239"/>
      <c r="SCI41" s="240"/>
      <c r="SCJ41" s="239"/>
      <c r="SCK41" s="240"/>
      <c r="SCL41" s="239"/>
      <c r="SCM41" s="240"/>
      <c r="SCN41" s="239"/>
      <c r="SCO41" s="240"/>
      <c r="SCP41" s="239"/>
      <c r="SCQ41" s="240"/>
      <c r="SCR41" s="239"/>
      <c r="SCS41" s="240"/>
      <c r="SCT41" s="239"/>
      <c r="SCU41" s="240"/>
      <c r="SCV41" s="239"/>
      <c r="SCW41" s="240"/>
      <c r="SCX41" s="239"/>
      <c r="SCY41" s="240"/>
      <c r="SCZ41" s="239"/>
      <c r="SDA41" s="240"/>
      <c r="SDB41" s="239"/>
      <c r="SDC41" s="240"/>
      <c r="SDD41" s="239"/>
      <c r="SDE41" s="240"/>
      <c r="SDF41" s="239"/>
      <c r="SDG41" s="240"/>
      <c r="SDH41" s="239"/>
      <c r="SDI41" s="240"/>
      <c r="SDJ41" s="239"/>
      <c r="SDK41" s="240"/>
      <c r="SDL41" s="239"/>
      <c r="SDM41" s="240"/>
      <c r="SDN41" s="239"/>
      <c r="SDO41" s="240"/>
      <c r="SDP41" s="239"/>
      <c r="SDQ41" s="240"/>
      <c r="SDR41" s="239"/>
      <c r="SDS41" s="240"/>
      <c r="SDT41" s="239"/>
      <c r="SDU41" s="240"/>
      <c r="SDV41" s="239"/>
      <c r="SDW41" s="240"/>
      <c r="SDX41" s="239"/>
      <c r="SDY41" s="240"/>
      <c r="SDZ41" s="239"/>
      <c r="SEA41" s="240"/>
      <c r="SEB41" s="239"/>
      <c r="SEC41" s="240"/>
      <c r="SED41" s="239"/>
      <c r="SEE41" s="240"/>
      <c r="SEF41" s="239"/>
      <c r="SEG41" s="240"/>
      <c r="SEH41" s="239"/>
      <c r="SEI41" s="240"/>
      <c r="SEJ41" s="239"/>
      <c r="SEK41" s="240"/>
      <c r="SEL41" s="239"/>
      <c r="SEM41" s="240"/>
      <c r="SEN41" s="239"/>
      <c r="SEO41" s="240"/>
      <c r="SEP41" s="239"/>
      <c r="SEQ41" s="240"/>
      <c r="SER41" s="239"/>
      <c r="SES41" s="240"/>
      <c r="SET41" s="239"/>
      <c r="SEU41" s="240"/>
      <c r="SEV41" s="239"/>
      <c r="SEW41" s="240"/>
      <c r="SEX41" s="239"/>
      <c r="SEY41" s="240"/>
      <c r="SEZ41" s="239"/>
      <c r="SFA41" s="240"/>
      <c r="SFB41" s="239"/>
      <c r="SFC41" s="240"/>
      <c r="SFD41" s="239"/>
      <c r="SFE41" s="240"/>
      <c r="SFF41" s="239"/>
      <c r="SFG41" s="240"/>
      <c r="SFH41" s="239"/>
      <c r="SFI41" s="240"/>
      <c r="SFJ41" s="239"/>
      <c r="SFK41" s="240"/>
      <c r="SFL41" s="239"/>
      <c r="SFM41" s="240"/>
      <c r="SFN41" s="239"/>
      <c r="SFO41" s="240"/>
      <c r="SFP41" s="239"/>
      <c r="SFQ41" s="240"/>
      <c r="SFR41" s="239"/>
      <c r="SFS41" s="240"/>
      <c r="SFT41" s="239"/>
      <c r="SFU41" s="240"/>
      <c r="SFV41" s="239"/>
      <c r="SFW41" s="240"/>
      <c r="SFX41" s="239"/>
      <c r="SFY41" s="240"/>
      <c r="SFZ41" s="239"/>
      <c r="SGA41" s="240"/>
      <c r="SGB41" s="239"/>
      <c r="SGC41" s="240"/>
      <c r="SGD41" s="239"/>
      <c r="SGE41" s="240"/>
      <c r="SGF41" s="239"/>
      <c r="SGG41" s="240"/>
      <c r="SGH41" s="239"/>
      <c r="SGI41" s="240"/>
      <c r="SGJ41" s="239"/>
      <c r="SGK41" s="240"/>
      <c r="SGL41" s="239"/>
      <c r="SGM41" s="240"/>
      <c r="SGN41" s="239"/>
      <c r="SGO41" s="240"/>
      <c r="SGP41" s="239"/>
      <c r="SGQ41" s="240"/>
      <c r="SGR41" s="239"/>
      <c r="SGS41" s="240"/>
      <c r="SGT41" s="239"/>
      <c r="SGU41" s="240"/>
      <c r="SGV41" s="239"/>
      <c r="SGW41" s="240"/>
      <c r="SGX41" s="239"/>
      <c r="SGY41" s="240"/>
      <c r="SGZ41" s="239"/>
      <c r="SHA41" s="240"/>
      <c r="SHB41" s="239"/>
      <c r="SHC41" s="240"/>
      <c r="SHD41" s="239"/>
      <c r="SHE41" s="240"/>
      <c r="SHF41" s="239"/>
      <c r="SHG41" s="240"/>
      <c r="SHH41" s="239"/>
      <c r="SHI41" s="240"/>
      <c r="SHJ41" s="239"/>
      <c r="SHK41" s="240"/>
      <c r="SHL41" s="239"/>
      <c r="SHM41" s="240"/>
      <c r="SHN41" s="239"/>
      <c r="SHO41" s="240"/>
      <c r="SHP41" s="239"/>
      <c r="SHQ41" s="240"/>
      <c r="SHR41" s="239"/>
      <c r="SHS41" s="240"/>
      <c r="SHT41" s="239"/>
      <c r="SHU41" s="240"/>
      <c r="SHV41" s="239"/>
      <c r="SHW41" s="240"/>
      <c r="SHX41" s="239"/>
      <c r="SHY41" s="240"/>
      <c r="SHZ41" s="239"/>
      <c r="SIA41" s="240"/>
      <c r="SIB41" s="239"/>
      <c r="SIC41" s="240"/>
      <c r="SID41" s="239"/>
      <c r="SIE41" s="240"/>
      <c r="SIF41" s="239"/>
      <c r="SIG41" s="240"/>
      <c r="SIH41" s="239"/>
      <c r="SII41" s="240"/>
      <c r="SIJ41" s="239"/>
      <c r="SIK41" s="240"/>
      <c r="SIL41" s="239"/>
      <c r="SIM41" s="240"/>
      <c r="SIN41" s="239"/>
      <c r="SIO41" s="240"/>
      <c r="SIP41" s="239"/>
      <c r="SIQ41" s="240"/>
      <c r="SIR41" s="239"/>
      <c r="SIS41" s="240"/>
      <c r="SIT41" s="239"/>
      <c r="SIU41" s="240"/>
      <c r="SIV41" s="239"/>
      <c r="SIW41" s="240"/>
      <c r="SIX41" s="239"/>
      <c r="SIY41" s="240"/>
      <c r="SIZ41" s="239"/>
      <c r="SJA41" s="240"/>
      <c r="SJB41" s="239"/>
      <c r="SJC41" s="240"/>
      <c r="SJD41" s="239"/>
      <c r="SJE41" s="240"/>
      <c r="SJF41" s="239"/>
      <c r="SJG41" s="240"/>
      <c r="SJH41" s="239"/>
      <c r="SJI41" s="240"/>
      <c r="SJJ41" s="239"/>
      <c r="SJK41" s="240"/>
      <c r="SJL41" s="239"/>
      <c r="SJM41" s="240"/>
      <c r="SJN41" s="239"/>
      <c r="SJO41" s="240"/>
      <c r="SJP41" s="239"/>
      <c r="SJQ41" s="240"/>
      <c r="SJR41" s="239"/>
      <c r="SJS41" s="240"/>
      <c r="SJT41" s="239"/>
      <c r="SJU41" s="240"/>
      <c r="SJV41" s="239"/>
      <c r="SJW41" s="240"/>
      <c r="SJX41" s="239"/>
      <c r="SJY41" s="240"/>
      <c r="SJZ41" s="239"/>
      <c r="SKA41" s="240"/>
      <c r="SKB41" s="239"/>
      <c r="SKC41" s="240"/>
      <c r="SKD41" s="239"/>
      <c r="SKE41" s="240"/>
      <c r="SKF41" s="239"/>
      <c r="SKG41" s="240"/>
      <c r="SKH41" s="239"/>
      <c r="SKI41" s="240"/>
      <c r="SKJ41" s="239"/>
      <c r="SKK41" s="240"/>
      <c r="SKL41" s="239"/>
      <c r="SKM41" s="240"/>
      <c r="SKN41" s="239"/>
      <c r="SKO41" s="240"/>
      <c r="SKP41" s="239"/>
      <c r="SKQ41" s="240"/>
      <c r="SKR41" s="239"/>
      <c r="SKS41" s="240"/>
      <c r="SKT41" s="239"/>
      <c r="SKU41" s="240"/>
      <c r="SKV41" s="239"/>
      <c r="SKW41" s="240"/>
      <c r="SKX41" s="239"/>
      <c r="SKY41" s="240"/>
      <c r="SKZ41" s="239"/>
      <c r="SLA41" s="240"/>
      <c r="SLB41" s="239"/>
      <c r="SLC41" s="240"/>
      <c r="SLD41" s="239"/>
      <c r="SLE41" s="240"/>
      <c r="SLF41" s="239"/>
      <c r="SLG41" s="240"/>
      <c r="SLH41" s="239"/>
      <c r="SLI41" s="240"/>
      <c r="SLJ41" s="239"/>
      <c r="SLK41" s="240"/>
      <c r="SLL41" s="239"/>
      <c r="SLM41" s="240"/>
      <c r="SLN41" s="239"/>
      <c r="SLO41" s="240"/>
      <c r="SLP41" s="239"/>
      <c r="SLQ41" s="240"/>
      <c r="SLR41" s="239"/>
      <c r="SLS41" s="240"/>
      <c r="SLT41" s="239"/>
      <c r="SLU41" s="240"/>
      <c r="SLV41" s="239"/>
      <c r="SLW41" s="240"/>
      <c r="SLX41" s="239"/>
      <c r="SLY41" s="240"/>
      <c r="SLZ41" s="239"/>
      <c r="SMA41" s="240"/>
      <c r="SMB41" s="239"/>
      <c r="SMC41" s="240"/>
      <c r="SMD41" s="239"/>
      <c r="SME41" s="240"/>
      <c r="SMF41" s="239"/>
      <c r="SMG41" s="240"/>
      <c r="SMH41" s="239"/>
      <c r="SMI41" s="240"/>
      <c r="SMJ41" s="239"/>
      <c r="SMK41" s="240"/>
      <c r="SML41" s="239"/>
      <c r="SMM41" s="240"/>
      <c r="SMN41" s="239"/>
      <c r="SMO41" s="240"/>
      <c r="SMP41" s="239"/>
      <c r="SMQ41" s="240"/>
      <c r="SMR41" s="239"/>
      <c r="SMS41" s="240"/>
      <c r="SMT41" s="239"/>
      <c r="SMU41" s="240"/>
      <c r="SMV41" s="239"/>
      <c r="SMW41" s="240"/>
      <c r="SMX41" s="239"/>
      <c r="SMY41" s="240"/>
      <c r="SMZ41" s="239"/>
      <c r="SNA41" s="240"/>
      <c r="SNB41" s="239"/>
      <c r="SNC41" s="240"/>
      <c r="SND41" s="239"/>
      <c r="SNE41" s="240"/>
      <c r="SNF41" s="239"/>
      <c r="SNG41" s="240"/>
      <c r="SNH41" s="239"/>
      <c r="SNI41" s="240"/>
      <c r="SNJ41" s="239"/>
      <c r="SNK41" s="240"/>
      <c r="SNL41" s="239"/>
      <c r="SNM41" s="240"/>
      <c r="SNN41" s="239"/>
      <c r="SNO41" s="240"/>
      <c r="SNP41" s="239"/>
      <c r="SNQ41" s="240"/>
      <c r="SNR41" s="239"/>
      <c r="SNS41" s="240"/>
      <c r="SNT41" s="239"/>
      <c r="SNU41" s="240"/>
      <c r="SNV41" s="239"/>
      <c r="SNW41" s="240"/>
      <c r="SNX41" s="239"/>
      <c r="SNY41" s="240"/>
      <c r="SNZ41" s="239"/>
      <c r="SOA41" s="240"/>
      <c r="SOB41" s="239"/>
      <c r="SOC41" s="240"/>
      <c r="SOD41" s="239"/>
      <c r="SOE41" s="240"/>
      <c r="SOF41" s="239"/>
      <c r="SOG41" s="240"/>
      <c r="SOH41" s="239"/>
      <c r="SOI41" s="240"/>
      <c r="SOJ41" s="239"/>
      <c r="SOK41" s="240"/>
      <c r="SOL41" s="239"/>
      <c r="SOM41" s="240"/>
      <c r="SON41" s="239"/>
      <c r="SOO41" s="240"/>
      <c r="SOP41" s="239"/>
      <c r="SOQ41" s="240"/>
      <c r="SOR41" s="239"/>
      <c r="SOS41" s="240"/>
      <c r="SOT41" s="239"/>
      <c r="SOU41" s="240"/>
      <c r="SOV41" s="239"/>
      <c r="SOW41" s="240"/>
      <c r="SOX41" s="239"/>
      <c r="SOY41" s="240"/>
      <c r="SOZ41" s="239"/>
      <c r="SPA41" s="240"/>
      <c r="SPB41" s="239"/>
      <c r="SPC41" s="240"/>
      <c r="SPD41" s="239"/>
      <c r="SPE41" s="240"/>
      <c r="SPF41" s="239"/>
      <c r="SPG41" s="240"/>
      <c r="SPH41" s="239"/>
      <c r="SPI41" s="240"/>
      <c r="SPJ41" s="239"/>
      <c r="SPK41" s="240"/>
      <c r="SPL41" s="239"/>
      <c r="SPM41" s="240"/>
      <c r="SPN41" s="239"/>
      <c r="SPO41" s="240"/>
      <c r="SPP41" s="239"/>
      <c r="SPQ41" s="240"/>
      <c r="SPR41" s="239"/>
      <c r="SPS41" s="240"/>
      <c r="SPT41" s="239"/>
      <c r="SPU41" s="240"/>
      <c r="SPV41" s="239"/>
      <c r="SPW41" s="240"/>
      <c r="SPX41" s="239"/>
      <c r="SPY41" s="240"/>
      <c r="SPZ41" s="239"/>
      <c r="SQA41" s="240"/>
      <c r="SQB41" s="239"/>
      <c r="SQC41" s="240"/>
      <c r="SQD41" s="239"/>
      <c r="SQE41" s="240"/>
      <c r="SQF41" s="239"/>
      <c r="SQG41" s="240"/>
      <c r="SQH41" s="239"/>
      <c r="SQI41" s="240"/>
      <c r="SQJ41" s="239"/>
      <c r="SQK41" s="240"/>
      <c r="SQL41" s="239"/>
      <c r="SQM41" s="240"/>
      <c r="SQN41" s="239"/>
      <c r="SQO41" s="240"/>
      <c r="SQP41" s="239"/>
      <c r="SQQ41" s="240"/>
      <c r="SQR41" s="239"/>
      <c r="SQS41" s="240"/>
      <c r="SQT41" s="239"/>
      <c r="SQU41" s="240"/>
      <c r="SQV41" s="239"/>
      <c r="SQW41" s="240"/>
      <c r="SQX41" s="239"/>
      <c r="SQY41" s="240"/>
      <c r="SQZ41" s="239"/>
      <c r="SRA41" s="240"/>
      <c r="SRB41" s="239"/>
      <c r="SRC41" s="240"/>
      <c r="SRD41" s="239"/>
      <c r="SRE41" s="240"/>
      <c r="SRF41" s="239"/>
      <c r="SRG41" s="240"/>
      <c r="SRH41" s="239"/>
      <c r="SRI41" s="240"/>
      <c r="SRJ41" s="239"/>
      <c r="SRK41" s="240"/>
      <c r="SRL41" s="239"/>
      <c r="SRM41" s="240"/>
      <c r="SRN41" s="239"/>
      <c r="SRO41" s="240"/>
      <c r="SRP41" s="239"/>
      <c r="SRQ41" s="240"/>
      <c r="SRR41" s="239"/>
      <c r="SRS41" s="240"/>
      <c r="SRT41" s="239"/>
      <c r="SRU41" s="240"/>
      <c r="SRV41" s="239"/>
      <c r="SRW41" s="240"/>
      <c r="SRX41" s="239"/>
      <c r="SRY41" s="240"/>
      <c r="SRZ41" s="239"/>
      <c r="SSA41" s="240"/>
      <c r="SSB41" s="239"/>
      <c r="SSC41" s="240"/>
      <c r="SSD41" s="239"/>
      <c r="SSE41" s="240"/>
      <c r="SSF41" s="239"/>
      <c r="SSG41" s="240"/>
      <c r="SSH41" s="239"/>
      <c r="SSI41" s="240"/>
      <c r="SSJ41" s="239"/>
      <c r="SSK41" s="240"/>
      <c r="SSL41" s="239"/>
      <c r="SSM41" s="240"/>
      <c r="SSN41" s="239"/>
      <c r="SSO41" s="240"/>
      <c r="SSP41" s="239"/>
      <c r="SSQ41" s="240"/>
      <c r="SSR41" s="239"/>
      <c r="SSS41" s="240"/>
      <c r="SST41" s="239"/>
      <c r="SSU41" s="240"/>
      <c r="SSV41" s="239"/>
      <c r="SSW41" s="240"/>
      <c r="SSX41" s="239"/>
      <c r="SSY41" s="240"/>
      <c r="SSZ41" s="239"/>
      <c r="STA41" s="240"/>
      <c r="STB41" s="239"/>
      <c r="STC41" s="240"/>
      <c r="STD41" s="239"/>
      <c r="STE41" s="240"/>
      <c r="STF41" s="239"/>
      <c r="STG41" s="240"/>
      <c r="STH41" s="239"/>
      <c r="STI41" s="240"/>
      <c r="STJ41" s="239"/>
      <c r="STK41" s="240"/>
      <c r="STL41" s="239"/>
      <c r="STM41" s="240"/>
      <c r="STN41" s="239"/>
      <c r="STO41" s="240"/>
      <c r="STP41" s="239"/>
      <c r="STQ41" s="240"/>
      <c r="STR41" s="239"/>
      <c r="STS41" s="240"/>
      <c r="STT41" s="239"/>
      <c r="STU41" s="240"/>
      <c r="STV41" s="239"/>
      <c r="STW41" s="240"/>
      <c r="STX41" s="239"/>
      <c r="STY41" s="240"/>
      <c r="STZ41" s="239"/>
      <c r="SUA41" s="240"/>
      <c r="SUB41" s="239"/>
      <c r="SUC41" s="240"/>
      <c r="SUD41" s="239"/>
      <c r="SUE41" s="240"/>
      <c r="SUF41" s="239"/>
      <c r="SUG41" s="240"/>
      <c r="SUH41" s="239"/>
      <c r="SUI41" s="240"/>
      <c r="SUJ41" s="239"/>
      <c r="SUK41" s="240"/>
      <c r="SUL41" s="239"/>
      <c r="SUM41" s="240"/>
      <c r="SUN41" s="239"/>
      <c r="SUO41" s="240"/>
      <c r="SUP41" s="239"/>
      <c r="SUQ41" s="240"/>
      <c r="SUR41" s="239"/>
      <c r="SUS41" s="240"/>
      <c r="SUT41" s="239"/>
      <c r="SUU41" s="240"/>
      <c r="SUV41" s="239"/>
      <c r="SUW41" s="240"/>
      <c r="SUX41" s="239"/>
      <c r="SUY41" s="240"/>
      <c r="SUZ41" s="239"/>
      <c r="SVA41" s="240"/>
      <c r="SVB41" s="239"/>
      <c r="SVC41" s="240"/>
      <c r="SVD41" s="239"/>
      <c r="SVE41" s="240"/>
      <c r="SVF41" s="239"/>
      <c r="SVG41" s="240"/>
      <c r="SVH41" s="239"/>
      <c r="SVI41" s="240"/>
      <c r="SVJ41" s="239"/>
      <c r="SVK41" s="240"/>
      <c r="SVL41" s="239"/>
      <c r="SVM41" s="240"/>
      <c r="SVN41" s="239"/>
      <c r="SVO41" s="240"/>
      <c r="SVP41" s="239"/>
      <c r="SVQ41" s="240"/>
      <c r="SVR41" s="239"/>
      <c r="SVS41" s="240"/>
      <c r="SVT41" s="239"/>
      <c r="SVU41" s="240"/>
      <c r="SVV41" s="239"/>
      <c r="SVW41" s="240"/>
      <c r="SVX41" s="239"/>
      <c r="SVY41" s="240"/>
      <c r="SVZ41" s="239"/>
      <c r="SWA41" s="240"/>
      <c r="SWB41" s="239"/>
      <c r="SWC41" s="240"/>
      <c r="SWD41" s="239"/>
      <c r="SWE41" s="240"/>
      <c r="SWF41" s="239"/>
      <c r="SWG41" s="240"/>
      <c r="SWH41" s="239"/>
      <c r="SWI41" s="240"/>
      <c r="SWJ41" s="239"/>
      <c r="SWK41" s="240"/>
      <c r="SWL41" s="239"/>
      <c r="SWM41" s="240"/>
      <c r="SWN41" s="239"/>
      <c r="SWO41" s="240"/>
      <c r="SWP41" s="239"/>
      <c r="SWQ41" s="240"/>
      <c r="SWR41" s="239"/>
      <c r="SWS41" s="240"/>
      <c r="SWT41" s="239"/>
      <c r="SWU41" s="240"/>
      <c r="SWV41" s="239"/>
      <c r="SWW41" s="240"/>
      <c r="SWX41" s="239"/>
      <c r="SWY41" s="240"/>
      <c r="SWZ41" s="239"/>
      <c r="SXA41" s="240"/>
      <c r="SXB41" s="239"/>
      <c r="SXC41" s="240"/>
      <c r="SXD41" s="239"/>
      <c r="SXE41" s="240"/>
      <c r="SXF41" s="239"/>
      <c r="SXG41" s="240"/>
      <c r="SXH41" s="239"/>
      <c r="SXI41" s="240"/>
      <c r="SXJ41" s="239"/>
      <c r="SXK41" s="240"/>
      <c r="SXL41" s="239"/>
      <c r="SXM41" s="240"/>
      <c r="SXN41" s="239"/>
      <c r="SXO41" s="240"/>
      <c r="SXP41" s="239"/>
      <c r="SXQ41" s="240"/>
      <c r="SXR41" s="239"/>
      <c r="SXS41" s="240"/>
      <c r="SXT41" s="239"/>
      <c r="SXU41" s="240"/>
      <c r="SXV41" s="239"/>
      <c r="SXW41" s="240"/>
      <c r="SXX41" s="239"/>
      <c r="SXY41" s="240"/>
      <c r="SXZ41" s="239"/>
      <c r="SYA41" s="240"/>
      <c r="SYB41" s="239"/>
      <c r="SYC41" s="240"/>
      <c r="SYD41" s="239"/>
      <c r="SYE41" s="240"/>
      <c r="SYF41" s="239"/>
      <c r="SYG41" s="240"/>
      <c r="SYH41" s="239"/>
      <c r="SYI41" s="240"/>
      <c r="SYJ41" s="239"/>
      <c r="SYK41" s="240"/>
      <c r="SYL41" s="239"/>
      <c r="SYM41" s="240"/>
      <c r="SYN41" s="239"/>
      <c r="SYO41" s="240"/>
      <c r="SYP41" s="239"/>
      <c r="SYQ41" s="240"/>
      <c r="SYR41" s="239"/>
      <c r="SYS41" s="240"/>
      <c r="SYT41" s="239"/>
      <c r="SYU41" s="240"/>
      <c r="SYV41" s="239"/>
      <c r="SYW41" s="240"/>
      <c r="SYX41" s="239"/>
      <c r="SYY41" s="240"/>
      <c r="SYZ41" s="239"/>
      <c r="SZA41" s="240"/>
      <c r="SZB41" s="239"/>
      <c r="SZC41" s="240"/>
      <c r="SZD41" s="239"/>
      <c r="SZE41" s="240"/>
      <c r="SZF41" s="239"/>
      <c r="SZG41" s="240"/>
      <c r="SZH41" s="239"/>
      <c r="SZI41" s="240"/>
      <c r="SZJ41" s="239"/>
      <c r="SZK41" s="240"/>
      <c r="SZL41" s="239"/>
      <c r="SZM41" s="240"/>
      <c r="SZN41" s="239"/>
      <c r="SZO41" s="240"/>
      <c r="SZP41" s="239"/>
      <c r="SZQ41" s="240"/>
      <c r="SZR41" s="239"/>
      <c r="SZS41" s="240"/>
      <c r="SZT41" s="239"/>
      <c r="SZU41" s="240"/>
      <c r="SZV41" s="239"/>
      <c r="SZW41" s="240"/>
      <c r="SZX41" s="239"/>
      <c r="SZY41" s="240"/>
      <c r="SZZ41" s="239"/>
      <c r="TAA41" s="240"/>
      <c r="TAB41" s="239"/>
      <c r="TAC41" s="240"/>
      <c r="TAD41" s="239"/>
      <c r="TAE41" s="240"/>
      <c r="TAF41" s="239"/>
      <c r="TAG41" s="240"/>
      <c r="TAH41" s="239"/>
      <c r="TAI41" s="240"/>
      <c r="TAJ41" s="239"/>
      <c r="TAK41" s="240"/>
      <c r="TAL41" s="239"/>
      <c r="TAM41" s="240"/>
      <c r="TAN41" s="239"/>
      <c r="TAO41" s="240"/>
      <c r="TAP41" s="239"/>
      <c r="TAQ41" s="240"/>
      <c r="TAR41" s="239"/>
      <c r="TAS41" s="240"/>
      <c r="TAT41" s="239"/>
      <c r="TAU41" s="240"/>
      <c r="TAV41" s="239"/>
      <c r="TAW41" s="240"/>
      <c r="TAX41" s="239"/>
      <c r="TAY41" s="240"/>
      <c r="TAZ41" s="239"/>
      <c r="TBA41" s="240"/>
      <c r="TBB41" s="239"/>
      <c r="TBC41" s="240"/>
      <c r="TBD41" s="239"/>
      <c r="TBE41" s="240"/>
      <c r="TBF41" s="239"/>
      <c r="TBG41" s="240"/>
      <c r="TBH41" s="239"/>
      <c r="TBI41" s="240"/>
      <c r="TBJ41" s="239"/>
      <c r="TBK41" s="240"/>
      <c r="TBL41" s="239"/>
      <c r="TBM41" s="240"/>
      <c r="TBN41" s="239"/>
      <c r="TBO41" s="240"/>
      <c r="TBP41" s="239"/>
      <c r="TBQ41" s="240"/>
      <c r="TBR41" s="239"/>
      <c r="TBS41" s="240"/>
      <c r="TBT41" s="239"/>
      <c r="TBU41" s="240"/>
      <c r="TBV41" s="239"/>
      <c r="TBW41" s="240"/>
      <c r="TBX41" s="239"/>
      <c r="TBY41" s="240"/>
      <c r="TBZ41" s="239"/>
      <c r="TCA41" s="240"/>
      <c r="TCB41" s="239"/>
      <c r="TCC41" s="240"/>
      <c r="TCD41" s="239"/>
      <c r="TCE41" s="240"/>
      <c r="TCF41" s="239"/>
      <c r="TCG41" s="240"/>
      <c r="TCH41" s="239"/>
      <c r="TCI41" s="240"/>
      <c r="TCJ41" s="239"/>
      <c r="TCK41" s="240"/>
      <c r="TCL41" s="239"/>
      <c r="TCM41" s="240"/>
      <c r="TCN41" s="239"/>
      <c r="TCO41" s="240"/>
      <c r="TCP41" s="239"/>
      <c r="TCQ41" s="240"/>
      <c r="TCR41" s="239"/>
      <c r="TCS41" s="240"/>
      <c r="TCT41" s="239"/>
      <c r="TCU41" s="240"/>
      <c r="TCV41" s="239"/>
      <c r="TCW41" s="240"/>
      <c r="TCX41" s="239"/>
      <c r="TCY41" s="240"/>
      <c r="TCZ41" s="239"/>
      <c r="TDA41" s="240"/>
      <c r="TDB41" s="239"/>
      <c r="TDC41" s="240"/>
      <c r="TDD41" s="239"/>
      <c r="TDE41" s="240"/>
      <c r="TDF41" s="239"/>
      <c r="TDG41" s="240"/>
      <c r="TDH41" s="239"/>
      <c r="TDI41" s="240"/>
      <c r="TDJ41" s="239"/>
      <c r="TDK41" s="240"/>
      <c r="TDL41" s="239"/>
      <c r="TDM41" s="240"/>
      <c r="TDN41" s="239"/>
      <c r="TDO41" s="240"/>
      <c r="TDP41" s="239"/>
      <c r="TDQ41" s="240"/>
      <c r="TDR41" s="239"/>
      <c r="TDS41" s="240"/>
      <c r="TDT41" s="239"/>
      <c r="TDU41" s="240"/>
      <c r="TDV41" s="239"/>
      <c r="TDW41" s="240"/>
      <c r="TDX41" s="239"/>
      <c r="TDY41" s="240"/>
      <c r="TDZ41" s="239"/>
      <c r="TEA41" s="240"/>
      <c r="TEB41" s="239"/>
      <c r="TEC41" s="240"/>
      <c r="TED41" s="239"/>
      <c r="TEE41" s="240"/>
      <c r="TEF41" s="239"/>
      <c r="TEG41" s="240"/>
      <c r="TEH41" s="239"/>
      <c r="TEI41" s="240"/>
      <c r="TEJ41" s="239"/>
      <c r="TEK41" s="240"/>
      <c r="TEL41" s="239"/>
      <c r="TEM41" s="240"/>
      <c r="TEN41" s="239"/>
      <c r="TEO41" s="240"/>
      <c r="TEP41" s="239"/>
      <c r="TEQ41" s="240"/>
      <c r="TER41" s="239"/>
      <c r="TES41" s="240"/>
      <c r="TET41" s="239"/>
      <c r="TEU41" s="240"/>
      <c r="TEV41" s="239"/>
      <c r="TEW41" s="240"/>
      <c r="TEX41" s="239"/>
      <c r="TEY41" s="240"/>
      <c r="TEZ41" s="239"/>
      <c r="TFA41" s="240"/>
      <c r="TFB41" s="239"/>
      <c r="TFC41" s="240"/>
      <c r="TFD41" s="239"/>
      <c r="TFE41" s="240"/>
      <c r="TFF41" s="239"/>
      <c r="TFG41" s="240"/>
      <c r="TFH41" s="239"/>
      <c r="TFI41" s="240"/>
      <c r="TFJ41" s="239"/>
      <c r="TFK41" s="240"/>
      <c r="TFL41" s="239"/>
      <c r="TFM41" s="240"/>
      <c r="TFN41" s="239"/>
      <c r="TFO41" s="240"/>
      <c r="TFP41" s="239"/>
      <c r="TFQ41" s="240"/>
      <c r="TFR41" s="239"/>
      <c r="TFS41" s="240"/>
      <c r="TFT41" s="239"/>
      <c r="TFU41" s="240"/>
      <c r="TFV41" s="239"/>
      <c r="TFW41" s="240"/>
      <c r="TFX41" s="239"/>
      <c r="TFY41" s="240"/>
      <c r="TFZ41" s="239"/>
      <c r="TGA41" s="240"/>
      <c r="TGB41" s="239"/>
      <c r="TGC41" s="240"/>
      <c r="TGD41" s="239"/>
      <c r="TGE41" s="240"/>
      <c r="TGF41" s="239"/>
      <c r="TGG41" s="240"/>
      <c r="TGH41" s="239"/>
      <c r="TGI41" s="240"/>
      <c r="TGJ41" s="239"/>
      <c r="TGK41" s="240"/>
      <c r="TGL41" s="239"/>
      <c r="TGM41" s="240"/>
      <c r="TGN41" s="239"/>
      <c r="TGO41" s="240"/>
      <c r="TGP41" s="239"/>
      <c r="TGQ41" s="240"/>
      <c r="TGR41" s="239"/>
      <c r="TGS41" s="240"/>
      <c r="TGT41" s="239"/>
      <c r="TGU41" s="240"/>
      <c r="TGV41" s="239"/>
      <c r="TGW41" s="240"/>
      <c r="TGX41" s="239"/>
      <c r="TGY41" s="240"/>
      <c r="TGZ41" s="239"/>
      <c r="THA41" s="240"/>
      <c r="THB41" s="239"/>
      <c r="THC41" s="240"/>
      <c r="THD41" s="239"/>
      <c r="THE41" s="240"/>
      <c r="THF41" s="239"/>
      <c r="THG41" s="240"/>
      <c r="THH41" s="239"/>
      <c r="THI41" s="240"/>
      <c r="THJ41" s="239"/>
      <c r="THK41" s="240"/>
      <c r="THL41" s="239"/>
      <c r="THM41" s="240"/>
      <c r="THN41" s="239"/>
      <c r="THO41" s="240"/>
      <c r="THP41" s="239"/>
      <c r="THQ41" s="240"/>
      <c r="THR41" s="239"/>
      <c r="THS41" s="240"/>
      <c r="THT41" s="239"/>
      <c r="THU41" s="240"/>
      <c r="THV41" s="239"/>
      <c r="THW41" s="240"/>
      <c r="THX41" s="239"/>
      <c r="THY41" s="240"/>
      <c r="THZ41" s="239"/>
      <c r="TIA41" s="240"/>
      <c r="TIB41" s="239"/>
      <c r="TIC41" s="240"/>
      <c r="TID41" s="239"/>
      <c r="TIE41" s="240"/>
      <c r="TIF41" s="239"/>
      <c r="TIG41" s="240"/>
      <c r="TIH41" s="239"/>
      <c r="TII41" s="240"/>
      <c r="TIJ41" s="239"/>
      <c r="TIK41" s="240"/>
      <c r="TIL41" s="239"/>
      <c r="TIM41" s="240"/>
      <c r="TIN41" s="239"/>
      <c r="TIO41" s="240"/>
      <c r="TIP41" s="239"/>
      <c r="TIQ41" s="240"/>
      <c r="TIR41" s="239"/>
      <c r="TIS41" s="240"/>
      <c r="TIT41" s="239"/>
      <c r="TIU41" s="240"/>
      <c r="TIV41" s="239"/>
      <c r="TIW41" s="240"/>
      <c r="TIX41" s="239"/>
      <c r="TIY41" s="240"/>
      <c r="TIZ41" s="239"/>
      <c r="TJA41" s="240"/>
      <c r="TJB41" s="239"/>
      <c r="TJC41" s="240"/>
      <c r="TJD41" s="239"/>
      <c r="TJE41" s="240"/>
      <c r="TJF41" s="239"/>
      <c r="TJG41" s="240"/>
      <c r="TJH41" s="239"/>
      <c r="TJI41" s="240"/>
      <c r="TJJ41" s="239"/>
      <c r="TJK41" s="240"/>
      <c r="TJL41" s="239"/>
      <c r="TJM41" s="240"/>
      <c r="TJN41" s="239"/>
      <c r="TJO41" s="240"/>
      <c r="TJP41" s="239"/>
      <c r="TJQ41" s="240"/>
      <c r="TJR41" s="239"/>
      <c r="TJS41" s="240"/>
      <c r="TJT41" s="239"/>
      <c r="TJU41" s="240"/>
      <c r="TJV41" s="239"/>
      <c r="TJW41" s="240"/>
      <c r="TJX41" s="239"/>
      <c r="TJY41" s="240"/>
      <c r="TJZ41" s="239"/>
      <c r="TKA41" s="240"/>
      <c r="TKB41" s="239"/>
      <c r="TKC41" s="240"/>
      <c r="TKD41" s="239"/>
      <c r="TKE41" s="240"/>
      <c r="TKF41" s="239"/>
      <c r="TKG41" s="240"/>
      <c r="TKH41" s="239"/>
      <c r="TKI41" s="240"/>
      <c r="TKJ41" s="239"/>
      <c r="TKK41" s="240"/>
      <c r="TKL41" s="239"/>
      <c r="TKM41" s="240"/>
      <c r="TKN41" s="239"/>
      <c r="TKO41" s="240"/>
      <c r="TKP41" s="239"/>
      <c r="TKQ41" s="240"/>
      <c r="TKR41" s="239"/>
      <c r="TKS41" s="240"/>
      <c r="TKT41" s="239"/>
      <c r="TKU41" s="240"/>
      <c r="TKV41" s="239"/>
      <c r="TKW41" s="240"/>
      <c r="TKX41" s="239"/>
      <c r="TKY41" s="240"/>
      <c r="TKZ41" s="239"/>
      <c r="TLA41" s="240"/>
      <c r="TLB41" s="239"/>
      <c r="TLC41" s="240"/>
      <c r="TLD41" s="239"/>
      <c r="TLE41" s="240"/>
      <c r="TLF41" s="239"/>
      <c r="TLG41" s="240"/>
      <c r="TLH41" s="239"/>
      <c r="TLI41" s="240"/>
      <c r="TLJ41" s="239"/>
      <c r="TLK41" s="240"/>
      <c r="TLL41" s="239"/>
      <c r="TLM41" s="240"/>
      <c r="TLN41" s="239"/>
      <c r="TLO41" s="240"/>
      <c r="TLP41" s="239"/>
      <c r="TLQ41" s="240"/>
      <c r="TLR41" s="239"/>
      <c r="TLS41" s="240"/>
      <c r="TLT41" s="239"/>
      <c r="TLU41" s="240"/>
      <c r="TLV41" s="239"/>
      <c r="TLW41" s="240"/>
      <c r="TLX41" s="239"/>
      <c r="TLY41" s="240"/>
      <c r="TLZ41" s="239"/>
      <c r="TMA41" s="240"/>
      <c r="TMB41" s="239"/>
      <c r="TMC41" s="240"/>
      <c r="TMD41" s="239"/>
      <c r="TME41" s="240"/>
      <c r="TMF41" s="239"/>
      <c r="TMG41" s="240"/>
      <c r="TMH41" s="239"/>
      <c r="TMI41" s="240"/>
      <c r="TMJ41" s="239"/>
      <c r="TMK41" s="240"/>
      <c r="TML41" s="239"/>
      <c r="TMM41" s="240"/>
      <c r="TMN41" s="239"/>
      <c r="TMO41" s="240"/>
      <c r="TMP41" s="239"/>
      <c r="TMQ41" s="240"/>
      <c r="TMR41" s="239"/>
      <c r="TMS41" s="240"/>
      <c r="TMT41" s="239"/>
      <c r="TMU41" s="240"/>
      <c r="TMV41" s="239"/>
      <c r="TMW41" s="240"/>
      <c r="TMX41" s="239"/>
      <c r="TMY41" s="240"/>
      <c r="TMZ41" s="239"/>
      <c r="TNA41" s="240"/>
      <c r="TNB41" s="239"/>
      <c r="TNC41" s="240"/>
      <c r="TND41" s="239"/>
      <c r="TNE41" s="240"/>
      <c r="TNF41" s="239"/>
      <c r="TNG41" s="240"/>
      <c r="TNH41" s="239"/>
      <c r="TNI41" s="240"/>
      <c r="TNJ41" s="239"/>
      <c r="TNK41" s="240"/>
      <c r="TNL41" s="239"/>
      <c r="TNM41" s="240"/>
      <c r="TNN41" s="239"/>
      <c r="TNO41" s="240"/>
      <c r="TNP41" s="239"/>
      <c r="TNQ41" s="240"/>
      <c r="TNR41" s="239"/>
      <c r="TNS41" s="240"/>
      <c r="TNT41" s="239"/>
      <c r="TNU41" s="240"/>
      <c r="TNV41" s="239"/>
      <c r="TNW41" s="240"/>
      <c r="TNX41" s="239"/>
      <c r="TNY41" s="240"/>
      <c r="TNZ41" s="239"/>
      <c r="TOA41" s="240"/>
      <c r="TOB41" s="239"/>
      <c r="TOC41" s="240"/>
      <c r="TOD41" s="239"/>
      <c r="TOE41" s="240"/>
      <c r="TOF41" s="239"/>
      <c r="TOG41" s="240"/>
      <c r="TOH41" s="239"/>
      <c r="TOI41" s="240"/>
      <c r="TOJ41" s="239"/>
      <c r="TOK41" s="240"/>
      <c r="TOL41" s="239"/>
      <c r="TOM41" s="240"/>
      <c r="TON41" s="239"/>
      <c r="TOO41" s="240"/>
      <c r="TOP41" s="239"/>
      <c r="TOQ41" s="240"/>
      <c r="TOR41" s="239"/>
      <c r="TOS41" s="240"/>
      <c r="TOT41" s="239"/>
      <c r="TOU41" s="240"/>
      <c r="TOV41" s="239"/>
      <c r="TOW41" s="240"/>
      <c r="TOX41" s="239"/>
      <c r="TOY41" s="240"/>
      <c r="TOZ41" s="239"/>
      <c r="TPA41" s="240"/>
      <c r="TPB41" s="239"/>
      <c r="TPC41" s="240"/>
      <c r="TPD41" s="239"/>
      <c r="TPE41" s="240"/>
      <c r="TPF41" s="239"/>
      <c r="TPG41" s="240"/>
      <c r="TPH41" s="239"/>
      <c r="TPI41" s="240"/>
      <c r="TPJ41" s="239"/>
      <c r="TPK41" s="240"/>
      <c r="TPL41" s="239"/>
      <c r="TPM41" s="240"/>
      <c r="TPN41" s="239"/>
      <c r="TPO41" s="240"/>
      <c r="TPP41" s="239"/>
      <c r="TPQ41" s="240"/>
      <c r="TPR41" s="239"/>
      <c r="TPS41" s="240"/>
      <c r="TPT41" s="239"/>
      <c r="TPU41" s="240"/>
      <c r="TPV41" s="239"/>
      <c r="TPW41" s="240"/>
      <c r="TPX41" s="239"/>
      <c r="TPY41" s="240"/>
      <c r="TPZ41" s="239"/>
      <c r="TQA41" s="240"/>
      <c r="TQB41" s="239"/>
      <c r="TQC41" s="240"/>
      <c r="TQD41" s="239"/>
      <c r="TQE41" s="240"/>
      <c r="TQF41" s="239"/>
      <c r="TQG41" s="240"/>
      <c r="TQH41" s="239"/>
      <c r="TQI41" s="240"/>
      <c r="TQJ41" s="239"/>
      <c r="TQK41" s="240"/>
      <c r="TQL41" s="239"/>
      <c r="TQM41" s="240"/>
      <c r="TQN41" s="239"/>
      <c r="TQO41" s="240"/>
      <c r="TQP41" s="239"/>
      <c r="TQQ41" s="240"/>
      <c r="TQR41" s="239"/>
      <c r="TQS41" s="240"/>
      <c r="TQT41" s="239"/>
      <c r="TQU41" s="240"/>
      <c r="TQV41" s="239"/>
      <c r="TQW41" s="240"/>
      <c r="TQX41" s="239"/>
      <c r="TQY41" s="240"/>
      <c r="TQZ41" s="239"/>
      <c r="TRA41" s="240"/>
      <c r="TRB41" s="239"/>
      <c r="TRC41" s="240"/>
      <c r="TRD41" s="239"/>
      <c r="TRE41" s="240"/>
      <c r="TRF41" s="239"/>
      <c r="TRG41" s="240"/>
      <c r="TRH41" s="239"/>
      <c r="TRI41" s="240"/>
      <c r="TRJ41" s="239"/>
      <c r="TRK41" s="240"/>
      <c r="TRL41" s="239"/>
      <c r="TRM41" s="240"/>
      <c r="TRN41" s="239"/>
      <c r="TRO41" s="240"/>
      <c r="TRP41" s="239"/>
      <c r="TRQ41" s="240"/>
      <c r="TRR41" s="239"/>
      <c r="TRS41" s="240"/>
      <c r="TRT41" s="239"/>
      <c r="TRU41" s="240"/>
      <c r="TRV41" s="239"/>
      <c r="TRW41" s="240"/>
      <c r="TRX41" s="239"/>
      <c r="TRY41" s="240"/>
      <c r="TRZ41" s="239"/>
      <c r="TSA41" s="240"/>
      <c r="TSB41" s="239"/>
      <c r="TSC41" s="240"/>
      <c r="TSD41" s="239"/>
      <c r="TSE41" s="240"/>
      <c r="TSF41" s="239"/>
      <c r="TSG41" s="240"/>
      <c r="TSH41" s="239"/>
      <c r="TSI41" s="240"/>
      <c r="TSJ41" s="239"/>
      <c r="TSK41" s="240"/>
      <c r="TSL41" s="239"/>
      <c r="TSM41" s="240"/>
      <c r="TSN41" s="239"/>
      <c r="TSO41" s="240"/>
      <c r="TSP41" s="239"/>
      <c r="TSQ41" s="240"/>
      <c r="TSR41" s="239"/>
      <c r="TSS41" s="240"/>
      <c r="TST41" s="239"/>
      <c r="TSU41" s="240"/>
      <c r="TSV41" s="239"/>
      <c r="TSW41" s="240"/>
      <c r="TSX41" s="239"/>
      <c r="TSY41" s="240"/>
      <c r="TSZ41" s="239"/>
      <c r="TTA41" s="240"/>
      <c r="TTB41" s="239"/>
      <c r="TTC41" s="240"/>
      <c r="TTD41" s="239"/>
      <c r="TTE41" s="240"/>
      <c r="TTF41" s="239"/>
      <c r="TTG41" s="240"/>
      <c r="TTH41" s="239"/>
      <c r="TTI41" s="240"/>
      <c r="TTJ41" s="239"/>
      <c r="TTK41" s="240"/>
      <c r="TTL41" s="239"/>
      <c r="TTM41" s="240"/>
      <c r="TTN41" s="239"/>
      <c r="TTO41" s="240"/>
      <c r="TTP41" s="239"/>
      <c r="TTQ41" s="240"/>
      <c r="TTR41" s="239"/>
      <c r="TTS41" s="240"/>
      <c r="TTT41" s="239"/>
      <c r="TTU41" s="240"/>
      <c r="TTV41" s="239"/>
      <c r="TTW41" s="240"/>
      <c r="TTX41" s="239"/>
      <c r="TTY41" s="240"/>
      <c r="TTZ41" s="239"/>
      <c r="TUA41" s="240"/>
      <c r="TUB41" s="239"/>
      <c r="TUC41" s="240"/>
      <c r="TUD41" s="239"/>
      <c r="TUE41" s="240"/>
      <c r="TUF41" s="239"/>
      <c r="TUG41" s="240"/>
      <c r="TUH41" s="239"/>
      <c r="TUI41" s="240"/>
      <c r="TUJ41" s="239"/>
      <c r="TUK41" s="240"/>
      <c r="TUL41" s="239"/>
      <c r="TUM41" s="240"/>
      <c r="TUN41" s="239"/>
      <c r="TUO41" s="240"/>
      <c r="TUP41" s="239"/>
      <c r="TUQ41" s="240"/>
      <c r="TUR41" s="239"/>
      <c r="TUS41" s="240"/>
      <c r="TUT41" s="239"/>
      <c r="TUU41" s="240"/>
      <c r="TUV41" s="239"/>
      <c r="TUW41" s="240"/>
      <c r="TUX41" s="239"/>
      <c r="TUY41" s="240"/>
      <c r="TUZ41" s="239"/>
      <c r="TVA41" s="240"/>
      <c r="TVB41" s="239"/>
      <c r="TVC41" s="240"/>
      <c r="TVD41" s="239"/>
      <c r="TVE41" s="240"/>
      <c r="TVF41" s="239"/>
      <c r="TVG41" s="240"/>
      <c r="TVH41" s="239"/>
      <c r="TVI41" s="240"/>
      <c r="TVJ41" s="239"/>
      <c r="TVK41" s="240"/>
      <c r="TVL41" s="239"/>
      <c r="TVM41" s="240"/>
      <c r="TVN41" s="239"/>
      <c r="TVO41" s="240"/>
      <c r="TVP41" s="239"/>
      <c r="TVQ41" s="240"/>
      <c r="TVR41" s="239"/>
      <c r="TVS41" s="240"/>
      <c r="TVT41" s="239"/>
      <c r="TVU41" s="240"/>
      <c r="TVV41" s="239"/>
      <c r="TVW41" s="240"/>
      <c r="TVX41" s="239"/>
      <c r="TVY41" s="240"/>
      <c r="TVZ41" s="239"/>
      <c r="TWA41" s="240"/>
      <c r="TWB41" s="239"/>
      <c r="TWC41" s="240"/>
      <c r="TWD41" s="239"/>
      <c r="TWE41" s="240"/>
      <c r="TWF41" s="239"/>
      <c r="TWG41" s="240"/>
      <c r="TWH41" s="239"/>
      <c r="TWI41" s="240"/>
      <c r="TWJ41" s="239"/>
      <c r="TWK41" s="240"/>
      <c r="TWL41" s="239"/>
      <c r="TWM41" s="240"/>
      <c r="TWN41" s="239"/>
      <c r="TWO41" s="240"/>
      <c r="TWP41" s="239"/>
      <c r="TWQ41" s="240"/>
      <c r="TWR41" s="239"/>
      <c r="TWS41" s="240"/>
      <c r="TWT41" s="239"/>
      <c r="TWU41" s="240"/>
      <c r="TWV41" s="239"/>
      <c r="TWW41" s="240"/>
      <c r="TWX41" s="239"/>
      <c r="TWY41" s="240"/>
      <c r="TWZ41" s="239"/>
      <c r="TXA41" s="240"/>
      <c r="TXB41" s="239"/>
      <c r="TXC41" s="240"/>
      <c r="TXD41" s="239"/>
      <c r="TXE41" s="240"/>
      <c r="TXF41" s="239"/>
      <c r="TXG41" s="240"/>
      <c r="TXH41" s="239"/>
      <c r="TXI41" s="240"/>
      <c r="TXJ41" s="239"/>
      <c r="TXK41" s="240"/>
      <c r="TXL41" s="239"/>
      <c r="TXM41" s="240"/>
      <c r="TXN41" s="239"/>
      <c r="TXO41" s="240"/>
      <c r="TXP41" s="239"/>
      <c r="TXQ41" s="240"/>
      <c r="TXR41" s="239"/>
      <c r="TXS41" s="240"/>
      <c r="TXT41" s="239"/>
      <c r="TXU41" s="240"/>
      <c r="TXV41" s="239"/>
      <c r="TXW41" s="240"/>
      <c r="TXX41" s="239"/>
      <c r="TXY41" s="240"/>
      <c r="TXZ41" s="239"/>
      <c r="TYA41" s="240"/>
      <c r="TYB41" s="239"/>
      <c r="TYC41" s="240"/>
      <c r="TYD41" s="239"/>
      <c r="TYE41" s="240"/>
      <c r="TYF41" s="239"/>
      <c r="TYG41" s="240"/>
      <c r="TYH41" s="239"/>
      <c r="TYI41" s="240"/>
      <c r="TYJ41" s="239"/>
      <c r="TYK41" s="240"/>
      <c r="TYL41" s="239"/>
      <c r="TYM41" s="240"/>
      <c r="TYN41" s="239"/>
      <c r="TYO41" s="240"/>
      <c r="TYP41" s="239"/>
      <c r="TYQ41" s="240"/>
      <c r="TYR41" s="239"/>
      <c r="TYS41" s="240"/>
      <c r="TYT41" s="239"/>
      <c r="TYU41" s="240"/>
      <c r="TYV41" s="239"/>
      <c r="TYW41" s="240"/>
      <c r="TYX41" s="239"/>
      <c r="TYY41" s="240"/>
      <c r="TYZ41" s="239"/>
      <c r="TZA41" s="240"/>
      <c r="TZB41" s="239"/>
      <c r="TZC41" s="240"/>
      <c r="TZD41" s="239"/>
      <c r="TZE41" s="240"/>
      <c r="TZF41" s="239"/>
      <c r="TZG41" s="240"/>
      <c r="TZH41" s="239"/>
      <c r="TZI41" s="240"/>
      <c r="TZJ41" s="239"/>
      <c r="TZK41" s="240"/>
      <c r="TZL41" s="239"/>
      <c r="TZM41" s="240"/>
      <c r="TZN41" s="239"/>
      <c r="TZO41" s="240"/>
      <c r="TZP41" s="239"/>
      <c r="TZQ41" s="240"/>
      <c r="TZR41" s="239"/>
      <c r="TZS41" s="240"/>
      <c r="TZT41" s="239"/>
      <c r="TZU41" s="240"/>
      <c r="TZV41" s="239"/>
      <c r="TZW41" s="240"/>
      <c r="TZX41" s="239"/>
      <c r="TZY41" s="240"/>
      <c r="TZZ41" s="239"/>
      <c r="UAA41" s="240"/>
      <c r="UAB41" s="239"/>
      <c r="UAC41" s="240"/>
      <c r="UAD41" s="239"/>
      <c r="UAE41" s="240"/>
      <c r="UAF41" s="239"/>
      <c r="UAG41" s="240"/>
      <c r="UAH41" s="239"/>
      <c r="UAI41" s="240"/>
      <c r="UAJ41" s="239"/>
      <c r="UAK41" s="240"/>
      <c r="UAL41" s="239"/>
      <c r="UAM41" s="240"/>
      <c r="UAN41" s="239"/>
      <c r="UAO41" s="240"/>
      <c r="UAP41" s="239"/>
      <c r="UAQ41" s="240"/>
      <c r="UAR41" s="239"/>
      <c r="UAS41" s="240"/>
      <c r="UAT41" s="239"/>
      <c r="UAU41" s="240"/>
      <c r="UAV41" s="239"/>
      <c r="UAW41" s="240"/>
      <c r="UAX41" s="239"/>
      <c r="UAY41" s="240"/>
      <c r="UAZ41" s="239"/>
      <c r="UBA41" s="240"/>
      <c r="UBB41" s="239"/>
      <c r="UBC41" s="240"/>
      <c r="UBD41" s="239"/>
      <c r="UBE41" s="240"/>
      <c r="UBF41" s="239"/>
      <c r="UBG41" s="240"/>
      <c r="UBH41" s="239"/>
      <c r="UBI41" s="240"/>
      <c r="UBJ41" s="239"/>
      <c r="UBK41" s="240"/>
      <c r="UBL41" s="239"/>
      <c r="UBM41" s="240"/>
      <c r="UBN41" s="239"/>
      <c r="UBO41" s="240"/>
      <c r="UBP41" s="239"/>
      <c r="UBQ41" s="240"/>
      <c r="UBR41" s="239"/>
      <c r="UBS41" s="240"/>
      <c r="UBT41" s="239"/>
      <c r="UBU41" s="240"/>
      <c r="UBV41" s="239"/>
      <c r="UBW41" s="240"/>
      <c r="UBX41" s="239"/>
      <c r="UBY41" s="240"/>
      <c r="UBZ41" s="239"/>
      <c r="UCA41" s="240"/>
      <c r="UCB41" s="239"/>
      <c r="UCC41" s="240"/>
      <c r="UCD41" s="239"/>
      <c r="UCE41" s="240"/>
      <c r="UCF41" s="239"/>
      <c r="UCG41" s="240"/>
      <c r="UCH41" s="239"/>
      <c r="UCI41" s="240"/>
      <c r="UCJ41" s="239"/>
      <c r="UCK41" s="240"/>
      <c r="UCL41" s="239"/>
      <c r="UCM41" s="240"/>
      <c r="UCN41" s="239"/>
      <c r="UCO41" s="240"/>
      <c r="UCP41" s="239"/>
      <c r="UCQ41" s="240"/>
      <c r="UCR41" s="239"/>
      <c r="UCS41" s="240"/>
      <c r="UCT41" s="239"/>
      <c r="UCU41" s="240"/>
      <c r="UCV41" s="239"/>
      <c r="UCW41" s="240"/>
      <c r="UCX41" s="239"/>
      <c r="UCY41" s="240"/>
      <c r="UCZ41" s="239"/>
      <c r="UDA41" s="240"/>
      <c r="UDB41" s="239"/>
      <c r="UDC41" s="240"/>
      <c r="UDD41" s="239"/>
      <c r="UDE41" s="240"/>
      <c r="UDF41" s="239"/>
      <c r="UDG41" s="240"/>
      <c r="UDH41" s="239"/>
      <c r="UDI41" s="240"/>
      <c r="UDJ41" s="239"/>
      <c r="UDK41" s="240"/>
      <c r="UDL41" s="239"/>
      <c r="UDM41" s="240"/>
      <c r="UDN41" s="239"/>
      <c r="UDO41" s="240"/>
      <c r="UDP41" s="239"/>
      <c r="UDQ41" s="240"/>
      <c r="UDR41" s="239"/>
      <c r="UDS41" s="240"/>
      <c r="UDT41" s="239"/>
      <c r="UDU41" s="240"/>
      <c r="UDV41" s="239"/>
      <c r="UDW41" s="240"/>
      <c r="UDX41" s="239"/>
      <c r="UDY41" s="240"/>
      <c r="UDZ41" s="239"/>
      <c r="UEA41" s="240"/>
      <c r="UEB41" s="239"/>
      <c r="UEC41" s="240"/>
      <c r="UED41" s="239"/>
      <c r="UEE41" s="240"/>
      <c r="UEF41" s="239"/>
      <c r="UEG41" s="240"/>
      <c r="UEH41" s="239"/>
      <c r="UEI41" s="240"/>
      <c r="UEJ41" s="239"/>
      <c r="UEK41" s="240"/>
      <c r="UEL41" s="239"/>
      <c r="UEM41" s="240"/>
      <c r="UEN41" s="239"/>
      <c r="UEO41" s="240"/>
      <c r="UEP41" s="239"/>
      <c r="UEQ41" s="240"/>
      <c r="UER41" s="239"/>
      <c r="UES41" s="240"/>
      <c r="UET41" s="239"/>
      <c r="UEU41" s="240"/>
      <c r="UEV41" s="239"/>
      <c r="UEW41" s="240"/>
      <c r="UEX41" s="239"/>
      <c r="UEY41" s="240"/>
      <c r="UEZ41" s="239"/>
      <c r="UFA41" s="240"/>
      <c r="UFB41" s="239"/>
      <c r="UFC41" s="240"/>
      <c r="UFD41" s="239"/>
      <c r="UFE41" s="240"/>
      <c r="UFF41" s="239"/>
      <c r="UFG41" s="240"/>
      <c r="UFH41" s="239"/>
      <c r="UFI41" s="240"/>
      <c r="UFJ41" s="239"/>
      <c r="UFK41" s="240"/>
      <c r="UFL41" s="239"/>
      <c r="UFM41" s="240"/>
      <c r="UFN41" s="239"/>
      <c r="UFO41" s="240"/>
      <c r="UFP41" s="239"/>
      <c r="UFQ41" s="240"/>
      <c r="UFR41" s="239"/>
      <c r="UFS41" s="240"/>
      <c r="UFT41" s="239"/>
      <c r="UFU41" s="240"/>
      <c r="UFV41" s="239"/>
      <c r="UFW41" s="240"/>
      <c r="UFX41" s="239"/>
      <c r="UFY41" s="240"/>
      <c r="UFZ41" s="239"/>
      <c r="UGA41" s="240"/>
      <c r="UGB41" s="239"/>
      <c r="UGC41" s="240"/>
      <c r="UGD41" s="239"/>
      <c r="UGE41" s="240"/>
      <c r="UGF41" s="239"/>
      <c r="UGG41" s="240"/>
      <c r="UGH41" s="239"/>
      <c r="UGI41" s="240"/>
      <c r="UGJ41" s="239"/>
      <c r="UGK41" s="240"/>
      <c r="UGL41" s="239"/>
      <c r="UGM41" s="240"/>
      <c r="UGN41" s="239"/>
      <c r="UGO41" s="240"/>
      <c r="UGP41" s="239"/>
      <c r="UGQ41" s="240"/>
      <c r="UGR41" s="239"/>
      <c r="UGS41" s="240"/>
      <c r="UGT41" s="239"/>
      <c r="UGU41" s="240"/>
      <c r="UGV41" s="239"/>
      <c r="UGW41" s="240"/>
      <c r="UGX41" s="239"/>
      <c r="UGY41" s="240"/>
      <c r="UGZ41" s="239"/>
      <c r="UHA41" s="240"/>
      <c r="UHB41" s="239"/>
      <c r="UHC41" s="240"/>
      <c r="UHD41" s="239"/>
      <c r="UHE41" s="240"/>
      <c r="UHF41" s="239"/>
      <c r="UHG41" s="240"/>
      <c r="UHH41" s="239"/>
      <c r="UHI41" s="240"/>
      <c r="UHJ41" s="239"/>
      <c r="UHK41" s="240"/>
      <c r="UHL41" s="239"/>
      <c r="UHM41" s="240"/>
      <c r="UHN41" s="239"/>
      <c r="UHO41" s="240"/>
      <c r="UHP41" s="239"/>
      <c r="UHQ41" s="240"/>
      <c r="UHR41" s="239"/>
      <c r="UHS41" s="240"/>
      <c r="UHT41" s="239"/>
      <c r="UHU41" s="240"/>
      <c r="UHV41" s="239"/>
      <c r="UHW41" s="240"/>
      <c r="UHX41" s="239"/>
      <c r="UHY41" s="240"/>
      <c r="UHZ41" s="239"/>
      <c r="UIA41" s="240"/>
      <c r="UIB41" s="239"/>
      <c r="UIC41" s="240"/>
      <c r="UID41" s="239"/>
      <c r="UIE41" s="240"/>
      <c r="UIF41" s="239"/>
      <c r="UIG41" s="240"/>
      <c r="UIH41" s="239"/>
      <c r="UII41" s="240"/>
      <c r="UIJ41" s="239"/>
      <c r="UIK41" s="240"/>
      <c r="UIL41" s="239"/>
      <c r="UIM41" s="240"/>
      <c r="UIN41" s="239"/>
      <c r="UIO41" s="240"/>
      <c r="UIP41" s="239"/>
      <c r="UIQ41" s="240"/>
      <c r="UIR41" s="239"/>
      <c r="UIS41" s="240"/>
      <c r="UIT41" s="239"/>
      <c r="UIU41" s="240"/>
      <c r="UIV41" s="239"/>
      <c r="UIW41" s="240"/>
      <c r="UIX41" s="239"/>
      <c r="UIY41" s="240"/>
      <c r="UIZ41" s="239"/>
      <c r="UJA41" s="240"/>
      <c r="UJB41" s="239"/>
      <c r="UJC41" s="240"/>
      <c r="UJD41" s="239"/>
      <c r="UJE41" s="240"/>
      <c r="UJF41" s="239"/>
      <c r="UJG41" s="240"/>
      <c r="UJH41" s="239"/>
      <c r="UJI41" s="240"/>
      <c r="UJJ41" s="239"/>
      <c r="UJK41" s="240"/>
      <c r="UJL41" s="239"/>
      <c r="UJM41" s="240"/>
      <c r="UJN41" s="239"/>
      <c r="UJO41" s="240"/>
      <c r="UJP41" s="239"/>
      <c r="UJQ41" s="240"/>
      <c r="UJR41" s="239"/>
      <c r="UJS41" s="240"/>
      <c r="UJT41" s="239"/>
      <c r="UJU41" s="240"/>
      <c r="UJV41" s="239"/>
      <c r="UJW41" s="240"/>
      <c r="UJX41" s="239"/>
      <c r="UJY41" s="240"/>
      <c r="UJZ41" s="239"/>
      <c r="UKA41" s="240"/>
      <c r="UKB41" s="239"/>
      <c r="UKC41" s="240"/>
      <c r="UKD41" s="239"/>
      <c r="UKE41" s="240"/>
      <c r="UKF41" s="239"/>
      <c r="UKG41" s="240"/>
      <c r="UKH41" s="239"/>
      <c r="UKI41" s="240"/>
      <c r="UKJ41" s="239"/>
      <c r="UKK41" s="240"/>
      <c r="UKL41" s="239"/>
      <c r="UKM41" s="240"/>
      <c r="UKN41" s="239"/>
      <c r="UKO41" s="240"/>
      <c r="UKP41" s="239"/>
      <c r="UKQ41" s="240"/>
      <c r="UKR41" s="239"/>
      <c r="UKS41" s="240"/>
      <c r="UKT41" s="239"/>
      <c r="UKU41" s="240"/>
      <c r="UKV41" s="239"/>
      <c r="UKW41" s="240"/>
      <c r="UKX41" s="239"/>
      <c r="UKY41" s="240"/>
      <c r="UKZ41" s="239"/>
      <c r="ULA41" s="240"/>
      <c r="ULB41" s="239"/>
      <c r="ULC41" s="240"/>
      <c r="ULD41" s="239"/>
      <c r="ULE41" s="240"/>
      <c r="ULF41" s="239"/>
      <c r="ULG41" s="240"/>
      <c r="ULH41" s="239"/>
      <c r="ULI41" s="240"/>
      <c r="ULJ41" s="239"/>
      <c r="ULK41" s="240"/>
      <c r="ULL41" s="239"/>
      <c r="ULM41" s="240"/>
      <c r="ULN41" s="239"/>
      <c r="ULO41" s="240"/>
      <c r="ULP41" s="239"/>
      <c r="ULQ41" s="240"/>
      <c r="ULR41" s="239"/>
      <c r="ULS41" s="240"/>
      <c r="ULT41" s="239"/>
      <c r="ULU41" s="240"/>
      <c r="ULV41" s="239"/>
      <c r="ULW41" s="240"/>
      <c r="ULX41" s="239"/>
      <c r="ULY41" s="240"/>
      <c r="ULZ41" s="239"/>
      <c r="UMA41" s="240"/>
      <c r="UMB41" s="239"/>
      <c r="UMC41" s="240"/>
      <c r="UMD41" s="239"/>
      <c r="UME41" s="240"/>
      <c r="UMF41" s="239"/>
      <c r="UMG41" s="240"/>
      <c r="UMH41" s="239"/>
      <c r="UMI41" s="240"/>
      <c r="UMJ41" s="239"/>
      <c r="UMK41" s="240"/>
      <c r="UML41" s="239"/>
      <c r="UMM41" s="240"/>
      <c r="UMN41" s="239"/>
      <c r="UMO41" s="240"/>
      <c r="UMP41" s="239"/>
      <c r="UMQ41" s="240"/>
      <c r="UMR41" s="239"/>
      <c r="UMS41" s="240"/>
      <c r="UMT41" s="239"/>
      <c r="UMU41" s="240"/>
      <c r="UMV41" s="239"/>
      <c r="UMW41" s="240"/>
      <c r="UMX41" s="239"/>
      <c r="UMY41" s="240"/>
      <c r="UMZ41" s="239"/>
      <c r="UNA41" s="240"/>
      <c r="UNB41" s="239"/>
      <c r="UNC41" s="240"/>
      <c r="UND41" s="239"/>
      <c r="UNE41" s="240"/>
      <c r="UNF41" s="239"/>
      <c r="UNG41" s="240"/>
      <c r="UNH41" s="239"/>
      <c r="UNI41" s="240"/>
      <c r="UNJ41" s="239"/>
      <c r="UNK41" s="240"/>
      <c r="UNL41" s="239"/>
      <c r="UNM41" s="240"/>
      <c r="UNN41" s="239"/>
      <c r="UNO41" s="240"/>
      <c r="UNP41" s="239"/>
      <c r="UNQ41" s="240"/>
      <c r="UNR41" s="239"/>
      <c r="UNS41" s="240"/>
      <c r="UNT41" s="239"/>
      <c r="UNU41" s="240"/>
      <c r="UNV41" s="239"/>
      <c r="UNW41" s="240"/>
      <c r="UNX41" s="239"/>
      <c r="UNY41" s="240"/>
      <c r="UNZ41" s="239"/>
      <c r="UOA41" s="240"/>
      <c r="UOB41" s="239"/>
      <c r="UOC41" s="240"/>
      <c r="UOD41" s="239"/>
      <c r="UOE41" s="240"/>
      <c r="UOF41" s="239"/>
      <c r="UOG41" s="240"/>
      <c r="UOH41" s="239"/>
      <c r="UOI41" s="240"/>
      <c r="UOJ41" s="239"/>
      <c r="UOK41" s="240"/>
      <c r="UOL41" s="239"/>
      <c r="UOM41" s="240"/>
      <c r="UON41" s="239"/>
      <c r="UOO41" s="240"/>
      <c r="UOP41" s="239"/>
      <c r="UOQ41" s="240"/>
      <c r="UOR41" s="239"/>
      <c r="UOS41" s="240"/>
      <c r="UOT41" s="239"/>
      <c r="UOU41" s="240"/>
      <c r="UOV41" s="239"/>
      <c r="UOW41" s="240"/>
      <c r="UOX41" s="239"/>
      <c r="UOY41" s="240"/>
      <c r="UOZ41" s="239"/>
      <c r="UPA41" s="240"/>
      <c r="UPB41" s="239"/>
      <c r="UPC41" s="240"/>
      <c r="UPD41" s="239"/>
      <c r="UPE41" s="240"/>
      <c r="UPF41" s="239"/>
      <c r="UPG41" s="240"/>
      <c r="UPH41" s="239"/>
      <c r="UPI41" s="240"/>
      <c r="UPJ41" s="239"/>
      <c r="UPK41" s="240"/>
      <c r="UPL41" s="239"/>
      <c r="UPM41" s="240"/>
      <c r="UPN41" s="239"/>
      <c r="UPO41" s="240"/>
      <c r="UPP41" s="239"/>
      <c r="UPQ41" s="240"/>
      <c r="UPR41" s="239"/>
      <c r="UPS41" s="240"/>
      <c r="UPT41" s="239"/>
      <c r="UPU41" s="240"/>
      <c r="UPV41" s="239"/>
      <c r="UPW41" s="240"/>
      <c r="UPX41" s="239"/>
      <c r="UPY41" s="240"/>
      <c r="UPZ41" s="239"/>
      <c r="UQA41" s="240"/>
      <c r="UQB41" s="239"/>
      <c r="UQC41" s="240"/>
      <c r="UQD41" s="239"/>
      <c r="UQE41" s="240"/>
      <c r="UQF41" s="239"/>
      <c r="UQG41" s="240"/>
      <c r="UQH41" s="239"/>
      <c r="UQI41" s="240"/>
      <c r="UQJ41" s="239"/>
      <c r="UQK41" s="240"/>
      <c r="UQL41" s="239"/>
      <c r="UQM41" s="240"/>
      <c r="UQN41" s="239"/>
      <c r="UQO41" s="240"/>
      <c r="UQP41" s="239"/>
      <c r="UQQ41" s="240"/>
      <c r="UQR41" s="239"/>
      <c r="UQS41" s="240"/>
      <c r="UQT41" s="239"/>
      <c r="UQU41" s="240"/>
      <c r="UQV41" s="239"/>
      <c r="UQW41" s="240"/>
      <c r="UQX41" s="239"/>
      <c r="UQY41" s="240"/>
      <c r="UQZ41" s="239"/>
      <c r="URA41" s="240"/>
      <c r="URB41" s="239"/>
      <c r="URC41" s="240"/>
      <c r="URD41" s="239"/>
      <c r="URE41" s="240"/>
      <c r="URF41" s="239"/>
      <c r="URG41" s="240"/>
      <c r="URH41" s="239"/>
      <c r="URI41" s="240"/>
      <c r="URJ41" s="239"/>
      <c r="URK41" s="240"/>
      <c r="URL41" s="239"/>
      <c r="URM41" s="240"/>
      <c r="URN41" s="239"/>
      <c r="URO41" s="240"/>
      <c r="URP41" s="239"/>
      <c r="URQ41" s="240"/>
      <c r="URR41" s="239"/>
      <c r="URS41" s="240"/>
      <c r="URT41" s="239"/>
      <c r="URU41" s="240"/>
      <c r="URV41" s="239"/>
      <c r="URW41" s="240"/>
      <c r="URX41" s="239"/>
      <c r="URY41" s="240"/>
      <c r="URZ41" s="239"/>
      <c r="USA41" s="240"/>
      <c r="USB41" s="239"/>
      <c r="USC41" s="240"/>
      <c r="USD41" s="239"/>
      <c r="USE41" s="240"/>
      <c r="USF41" s="239"/>
      <c r="USG41" s="240"/>
      <c r="USH41" s="239"/>
      <c r="USI41" s="240"/>
      <c r="USJ41" s="239"/>
      <c r="USK41" s="240"/>
      <c r="USL41" s="239"/>
      <c r="USM41" s="240"/>
      <c r="USN41" s="239"/>
      <c r="USO41" s="240"/>
      <c r="USP41" s="239"/>
      <c r="USQ41" s="240"/>
      <c r="USR41" s="239"/>
      <c r="USS41" s="240"/>
      <c r="UST41" s="239"/>
      <c r="USU41" s="240"/>
      <c r="USV41" s="239"/>
      <c r="USW41" s="240"/>
      <c r="USX41" s="239"/>
      <c r="USY41" s="240"/>
      <c r="USZ41" s="239"/>
      <c r="UTA41" s="240"/>
      <c r="UTB41" s="239"/>
      <c r="UTC41" s="240"/>
      <c r="UTD41" s="239"/>
      <c r="UTE41" s="240"/>
      <c r="UTF41" s="239"/>
      <c r="UTG41" s="240"/>
      <c r="UTH41" s="239"/>
      <c r="UTI41" s="240"/>
      <c r="UTJ41" s="239"/>
      <c r="UTK41" s="240"/>
      <c r="UTL41" s="239"/>
      <c r="UTM41" s="240"/>
      <c r="UTN41" s="239"/>
      <c r="UTO41" s="240"/>
      <c r="UTP41" s="239"/>
      <c r="UTQ41" s="240"/>
      <c r="UTR41" s="239"/>
      <c r="UTS41" s="240"/>
      <c r="UTT41" s="239"/>
      <c r="UTU41" s="240"/>
      <c r="UTV41" s="239"/>
      <c r="UTW41" s="240"/>
      <c r="UTX41" s="239"/>
      <c r="UTY41" s="240"/>
      <c r="UTZ41" s="239"/>
      <c r="UUA41" s="240"/>
      <c r="UUB41" s="239"/>
      <c r="UUC41" s="240"/>
      <c r="UUD41" s="239"/>
      <c r="UUE41" s="240"/>
      <c r="UUF41" s="239"/>
      <c r="UUG41" s="240"/>
      <c r="UUH41" s="239"/>
      <c r="UUI41" s="240"/>
      <c r="UUJ41" s="239"/>
      <c r="UUK41" s="240"/>
      <c r="UUL41" s="239"/>
      <c r="UUM41" s="240"/>
      <c r="UUN41" s="239"/>
      <c r="UUO41" s="240"/>
      <c r="UUP41" s="239"/>
      <c r="UUQ41" s="240"/>
      <c r="UUR41" s="239"/>
      <c r="UUS41" s="240"/>
      <c r="UUT41" s="239"/>
      <c r="UUU41" s="240"/>
      <c r="UUV41" s="239"/>
      <c r="UUW41" s="240"/>
      <c r="UUX41" s="239"/>
      <c r="UUY41" s="240"/>
      <c r="UUZ41" s="239"/>
      <c r="UVA41" s="240"/>
      <c r="UVB41" s="239"/>
      <c r="UVC41" s="240"/>
      <c r="UVD41" s="239"/>
      <c r="UVE41" s="240"/>
      <c r="UVF41" s="239"/>
      <c r="UVG41" s="240"/>
      <c r="UVH41" s="239"/>
      <c r="UVI41" s="240"/>
      <c r="UVJ41" s="239"/>
      <c r="UVK41" s="240"/>
      <c r="UVL41" s="239"/>
      <c r="UVM41" s="240"/>
      <c r="UVN41" s="239"/>
      <c r="UVO41" s="240"/>
      <c r="UVP41" s="239"/>
      <c r="UVQ41" s="240"/>
      <c r="UVR41" s="239"/>
      <c r="UVS41" s="240"/>
      <c r="UVT41" s="239"/>
      <c r="UVU41" s="240"/>
      <c r="UVV41" s="239"/>
      <c r="UVW41" s="240"/>
      <c r="UVX41" s="239"/>
      <c r="UVY41" s="240"/>
      <c r="UVZ41" s="239"/>
      <c r="UWA41" s="240"/>
      <c r="UWB41" s="239"/>
      <c r="UWC41" s="240"/>
      <c r="UWD41" s="239"/>
      <c r="UWE41" s="240"/>
      <c r="UWF41" s="239"/>
      <c r="UWG41" s="240"/>
      <c r="UWH41" s="239"/>
      <c r="UWI41" s="240"/>
      <c r="UWJ41" s="239"/>
      <c r="UWK41" s="240"/>
      <c r="UWL41" s="239"/>
      <c r="UWM41" s="240"/>
      <c r="UWN41" s="239"/>
      <c r="UWO41" s="240"/>
      <c r="UWP41" s="239"/>
      <c r="UWQ41" s="240"/>
      <c r="UWR41" s="239"/>
      <c r="UWS41" s="240"/>
      <c r="UWT41" s="239"/>
      <c r="UWU41" s="240"/>
      <c r="UWV41" s="239"/>
      <c r="UWW41" s="240"/>
      <c r="UWX41" s="239"/>
      <c r="UWY41" s="240"/>
      <c r="UWZ41" s="239"/>
      <c r="UXA41" s="240"/>
      <c r="UXB41" s="239"/>
      <c r="UXC41" s="240"/>
      <c r="UXD41" s="239"/>
      <c r="UXE41" s="240"/>
      <c r="UXF41" s="239"/>
      <c r="UXG41" s="240"/>
      <c r="UXH41" s="239"/>
      <c r="UXI41" s="240"/>
      <c r="UXJ41" s="239"/>
      <c r="UXK41" s="240"/>
      <c r="UXL41" s="239"/>
      <c r="UXM41" s="240"/>
      <c r="UXN41" s="239"/>
      <c r="UXO41" s="240"/>
      <c r="UXP41" s="239"/>
      <c r="UXQ41" s="240"/>
      <c r="UXR41" s="239"/>
      <c r="UXS41" s="240"/>
      <c r="UXT41" s="239"/>
      <c r="UXU41" s="240"/>
      <c r="UXV41" s="239"/>
      <c r="UXW41" s="240"/>
      <c r="UXX41" s="239"/>
      <c r="UXY41" s="240"/>
      <c r="UXZ41" s="239"/>
      <c r="UYA41" s="240"/>
      <c r="UYB41" s="239"/>
      <c r="UYC41" s="240"/>
      <c r="UYD41" s="239"/>
      <c r="UYE41" s="240"/>
      <c r="UYF41" s="239"/>
      <c r="UYG41" s="240"/>
      <c r="UYH41" s="239"/>
      <c r="UYI41" s="240"/>
      <c r="UYJ41" s="239"/>
      <c r="UYK41" s="240"/>
      <c r="UYL41" s="239"/>
      <c r="UYM41" s="240"/>
      <c r="UYN41" s="239"/>
      <c r="UYO41" s="240"/>
      <c r="UYP41" s="239"/>
      <c r="UYQ41" s="240"/>
      <c r="UYR41" s="239"/>
      <c r="UYS41" s="240"/>
      <c r="UYT41" s="239"/>
      <c r="UYU41" s="240"/>
      <c r="UYV41" s="239"/>
      <c r="UYW41" s="240"/>
      <c r="UYX41" s="239"/>
      <c r="UYY41" s="240"/>
      <c r="UYZ41" s="239"/>
      <c r="UZA41" s="240"/>
      <c r="UZB41" s="239"/>
      <c r="UZC41" s="240"/>
      <c r="UZD41" s="239"/>
      <c r="UZE41" s="240"/>
      <c r="UZF41" s="239"/>
      <c r="UZG41" s="240"/>
      <c r="UZH41" s="239"/>
      <c r="UZI41" s="240"/>
      <c r="UZJ41" s="239"/>
      <c r="UZK41" s="240"/>
      <c r="UZL41" s="239"/>
      <c r="UZM41" s="240"/>
      <c r="UZN41" s="239"/>
      <c r="UZO41" s="240"/>
      <c r="UZP41" s="239"/>
      <c r="UZQ41" s="240"/>
      <c r="UZR41" s="239"/>
      <c r="UZS41" s="240"/>
      <c r="UZT41" s="239"/>
      <c r="UZU41" s="240"/>
      <c r="UZV41" s="239"/>
      <c r="UZW41" s="240"/>
      <c r="UZX41" s="239"/>
      <c r="UZY41" s="240"/>
      <c r="UZZ41" s="239"/>
      <c r="VAA41" s="240"/>
      <c r="VAB41" s="239"/>
      <c r="VAC41" s="240"/>
      <c r="VAD41" s="239"/>
      <c r="VAE41" s="240"/>
      <c r="VAF41" s="239"/>
      <c r="VAG41" s="240"/>
      <c r="VAH41" s="239"/>
      <c r="VAI41" s="240"/>
      <c r="VAJ41" s="239"/>
      <c r="VAK41" s="240"/>
      <c r="VAL41" s="239"/>
      <c r="VAM41" s="240"/>
      <c r="VAN41" s="239"/>
      <c r="VAO41" s="240"/>
      <c r="VAP41" s="239"/>
      <c r="VAQ41" s="240"/>
      <c r="VAR41" s="239"/>
      <c r="VAS41" s="240"/>
      <c r="VAT41" s="239"/>
      <c r="VAU41" s="240"/>
      <c r="VAV41" s="239"/>
      <c r="VAW41" s="240"/>
      <c r="VAX41" s="239"/>
      <c r="VAY41" s="240"/>
      <c r="VAZ41" s="239"/>
      <c r="VBA41" s="240"/>
      <c r="VBB41" s="239"/>
      <c r="VBC41" s="240"/>
      <c r="VBD41" s="239"/>
      <c r="VBE41" s="240"/>
      <c r="VBF41" s="239"/>
      <c r="VBG41" s="240"/>
      <c r="VBH41" s="239"/>
      <c r="VBI41" s="240"/>
      <c r="VBJ41" s="239"/>
      <c r="VBK41" s="240"/>
      <c r="VBL41" s="239"/>
      <c r="VBM41" s="240"/>
      <c r="VBN41" s="239"/>
      <c r="VBO41" s="240"/>
      <c r="VBP41" s="239"/>
      <c r="VBQ41" s="240"/>
      <c r="VBR41" s="239"/>
      <c r="VBS41" s="240"/>
      <c r="VBT41" s="239"/>
      <c r="VBU41" s="240"/>
      <c r="VBV41" s="239"/>
      <c r="VBW41" s="240"/>
      <c r="VBX41" s="239"/>
      <c r="VBY41" s="240"/>
      <c r="VBZ41" s="239"/>
      <c r="VCA41" s="240"/>
      <c r="VCB41" s="239"/>
      <c r="VCC41" s="240"/>
      <c r="VCD41" s="239"/>
      <c r="VCE41" s="240"/>
      <c r="VCF41" s="239"/>
      <c r="VCG41" s="240"/>
      <c r="VCH41" s="239"/>
      <c r="VCI41" s="240"/>
      <c r="VCJ41" s="239"/>
      <c r="VCK41" s="240"/>
      <c r="VCL41" s="239"/>
      <c r="VCM41" s="240"/>
      <c r="VCN41" s="239"/>
      <c r="VCO41" s="240"/>
      <c r="VCP41" s="239"/>
      <c r="VCQ41" s="240"/>
      <c r="VCR41" s="239"/>
      <c r="VCS41" s="240"/>
      <c r="VCT41" s="239"/>
      <c r="VCU41" s="240"/>
      <c r="VCV41" s="239"/>
      <c r="VCW41" s="240"/>
      <c r="VCX41" s="239"/>
      <c r="VCY41" s="240"/>
      <c r="VCZ41" s="239"/>
      <c r="VDA41" s="240"/>
      <c r="VDB41" s="239"/>
      <c r="VDC41" s="240"/>
      <c r="VDD41" s="239"/>
      <c r="VDE41" s="240"/>
      <c r="VDF41" s="239"/>
      <c r="VDG41" s="240"/>
      <c r="VDH41" s="239"/>
      <c r="VDI41" s="240"/>
      <c r="VDJ41" s="239"/>
      <c r="VDK41" s="240"/>
      <c r="VDL41" s="239"/>
      <c r="VDM41" s="240"/>
      <c r="VDN41" s="239"/>
      <c r="VDO41" s="240"/>
      <c r="VDP41" s="239"/>
      <c r="VDQ41" s="240"/>
      <c r="VDR41" s="239"/>
      <c r="VDS41" s="240"/>
      <c r="VDT41" s="239"/>
      <c r="VDU41" s="240"/>
      <c r="VDV41" s="239"/>
      <c r="VDW41" s="240"/>
      <c r="VDX41" s="239"/>
      <c r="VDY41" s="240"/>
      <c r="VDZ41" s="239"/>
      <c r="VEA41" s="240"/>
      <c r="VEB41" s="239"/>
      <c r="VEC41" s="240"/>
      <c r="VED41" s="239"/>
      <c r="VEE41" s="240"/>
      <c r="VEF41" s="239"/>
      <c r="VEG41" s="240"/>
      <c r="VEH41" s="239"/>
      <c r="VEI41" s="240"/>
      <c r="VEJ41" s="239"/>
      <c r="VEK41" s="240"/>
      <c r="VEL41" s="239"/>
      <c r="VEM41" s="240"/>
      <c r="VEN41" s="239"/>
      <c r="VEO41" s="240"/>
      <c r="VEP41" s="239"/>
      <c r="VEQ41" s="240"/>
      <c r="VER41" s="239"/>
      <c r="VES41" s="240"/>
      <c r="VET41" s="239"/>
      <c r="VEU41" s="240"/>
      <c r="VEV41" s="239"/>
      <c r="VEW41" s="240"/>
      <c r="VEX41" s="239"/>
      <c r="VEY41" s="240"/>
      <c r="VEZ41" s="239"/>
      <c r="VFA41" s="240"/>
      <c r="VFB41" s="239"/>
      <c r="VFC41" s="240"/>
      <c r="VFD41" s="239"/>
      <c r="VFE41" s="240"/>
      <c r="VFF41" s="239"/>
      <c r="VFG41" s="240"/>
      <c r="VFH41" s="239"/>
      <c r="VFI41" s="240"/>
      <c r="VFJ41" s="239"/>
      <c r="VFK41" s="240"/>
      <c r="VFL41" s="239"/>
      <c r="VFM41" s="240"/>
      <c r="VFN41" s="239"/>
      <c r="VFO41" s="240"/>
      <c r="VFP41" s="239"/>
      <c r="VFQ41" s="240"/>
      <c r="VFR41" s="239"/>
      <c r="VFS41" s="240"/>
      <c r="VFT41" s="239"/>
      <c r="VFU41" s="240"/>
      <c r="VFV41" s="239"/>
      <c r="VFW41" s="240"/>
      <c r="VFX41" s="239"/>
      <c r="VFY41" s="240"/>
      <c r="VFZ41" s="239"/>
      <c r="VGA41" s="240"/>
      <c r="VGB41" s="239"/>
      <c r="VGC41" s="240"/>
      <c r="VGD41" s="239"/>
      <c r="VGE41" s="240"/>
      <c r="VGF41" s="239"/>
      <c r="VGG41" s="240"/>
      <c r="VGH41" s="239"/>
      <c r="VGI41" s="240"/>
      <c r="VGJ41" s="239"/>
      <c r="VGK41" s="240"/>
      <c r="VGL41" s="239"/>
      <c r="VGM41" s="240"/>
      <c r="VGN41" s="239"/>
      <c r="VGO41" s="240"/>
      <c r="VGP41" s="239"/>
      <c r="VGQ41" s="240"/>
      <c r="VGR41" s="239"/>
      <c r="VGS41" s="240"/>
      <c r="VGT41" s="239"/>
      <c r="VGU41" s="240"/>
      <c r="VGV41" s="239"/>
      <c r="VGW41" s="240"/>
      <c r="VGX41" s="239"/>
      <c r="VGY41" s="240"/>
      <c r="VGZ41" s="239"/>
      <c r="VHA41" s="240"/>
      <c r="VHB41" s="239"/>
      <c r="VHC41" s="240"/>
      <c r="VHD41" s="239"/>
      <c r="VHE41" s="240"/>
      <c r="VHF41" s="239"/>
      <c r="VHG41" s="240"/>
      <c r="VHH41" s="239"/>
      <c r="VHI41" s="240"/>
      <c r="VHJ41" s="239"/>
      <c r="VHK41" s="240"/>
      <c r="VHL41" s="239"/>
      <c r="VHM41" s="240"/>
      <c r="VHN41" s="239"/>
      <c r="VHO41" s="240"/>
      <c r="VHP41" s="239"/>
      <c r="VHQ41" s="240"/>
      <c r="VHR41" s="239"/>
      <c r="VHS41" s="240"/>
      <c r="VHT41" s="239"/>
      <c r="VHU41" s="240"/>
      <c r="VHV41" s="239"/>
      <c r="VHW41" s="240"/>
      <c r="VHX41" s="239"/>
      <c r="VHY41" s="240"/>
      <c r="VHZ41" s="239"/>
      <c r="VIA41" s="240"/>
      <c r="VIB41" s="239"/>
      <c r="VIC41" s="240"/>
      <c r="VID41" s="239"/>
      <c r="VIE41" s="240"/>
      <c r="VIF41" s="239"/>
      <c r="VIG41" s="240"/>
      <c r="VIH41" s="239"/>
      <c r="VII41" s="240"/>
      <c r="VIJ41" s="239"/>
      <c r="VIK41" s="240"/>
      <c r="VIL41" s="239"/>
      <c r="VIM41" s="240"/>
      <c r="VIN41" s="239"/>
      <c r="VIO41" s="240"/>
      <c r="VIP41" s="239"/>
      <c r="VIQ41" s="240"/>
      <c r="VIR41" s="239"/>
      <c r="VIS41" s="240"/>
      <c r="VIT41" s="239"/>
      <c r="VIU41" s="240"/>
      <c r="VIV41" s="239"/>
      <c r="VIW41" s="240"/>
      <c r="VIX41" s="239"/>
      <c r="VIY41" s="240"/>
      <c r="VIZ41" s="239"/>
      <c r="VJA41" s="240"/>
      <c r="VJB41" s="239"/>
      <c r="VJC41" s="240"/>
      <c r="VJD41" s="239"/>
      <c r="VJE41" s="240"/>
      <c r="VJF41" s="239"/>
      <c r="VJG41" s="240"/>
      <c r="VJH41" s="239"/>
      <c r="VJI41" s="240"/>
      <c r="VJJ41" s="239"/>
      <c r="VJK41" s="240"/>
      <c r="VJL41" s="239"/>
      <c r="VJM41" s="240"/>
      <c r="VJN41" s="239"/>
      <c r="VJO41" s="240"/>
      <c r="VJP41" s="239"/>
      <c r="VJQ41" s="240"/>
      <c r="VJR41" s="239"/>
      <c r="VJS41" s="240"/>
      <c r="VJT41" s="239"/>
      <c r="VJU41" s="240"/>
      <c r="VJV41" s="239"/>
      <c r="VJW41" s="240"/>
      <c r="VJX41" s="239"/>
      <c r="VJY41" s="240"/>
      <c r="VJZ41" s="239"/>
      <c r="VKA41" s="240"/>
      <c r="VKB41" s="239"/>
      <c r="VKC41" s="240"/>
      <c r="VKD41" s="239"/>
      <c r="VKE41" s="240"/>
      <c r="VKF41" s="239"/>
      <c r="VKG41" s="240"/>
      <c r="VKH41" s="239"/>
      <c r="VKI41" s="240"/>
      <c r="VKJ41" s="239"/>
      <c r="VKK41" s="240"/>
      <c r="VKL41" s="239"/>
      <c r="VKM41" s="240"/>
      <c r="VKN41" s="239"/>
      <c r="VKO41" s="240"/>
      <c r="VKP41" s="239"/>
      <c r="VKQ41" s="240"/>
      <c r="VKR41" s="239"/>
      <c r="VKS41" s="240"/>
      <c r="VKT41" s="239"/>
      <c r="VKU41" s="240"/>
      <c r="VKV41" s="239"/>
      <c r="VKW41" s="240"/>
      <c r="VKX41" s="239"/>
      <c r="VKY41" s="240"/>
      <c r="VKZ41" s="239"/>
      <c r="VLA41" s="240"/>
      <c r="VLB41" s="239"/>
      <c r="VLC41" s="240"/>
      <c r="VLD41" s="239"/>
      <c r="VLE41" s="240"/>
      <c r="VLF41" s="239"/>
      <c r="VLG41" s="240"/>
      <c r="VLH41" s="239"/>
      <c r="VLI41" s="240"/>
      <c r="VLJ41" s="239"/>
      <c r="VLK41" s="240"/>
      <c r="VLL41" s="239"/>
      <c r="VLM41" s="240"/>
      <c r="VLN41" s="239"/>
      <c r="VLO41" s="240"/>
      <c r="VLP41" s="239"/>
      <c r="VLQ41" s="240"/>
      <c r="VLR41" s="239"/>
      <c r="VLS41" s="240"/>
      <c r="VLT41" s="239"/>
      <c r="VLU41" s="240"/>
      <c r="VLV41" s="239"/>
      <c r="VLW41" s="240"/>
      <c r="VLX41" s="239"/>
      <c r="VLY41" s="240"/>
      <c r="VLZ41" s="239"/>
      <c r="VMA41" s="240"/>
      <c r="VMB41" s="239"/>
      <c r="VMC41" s="240"/>
      <c r="VMD41" s="239"/>
      <c r="VME41" s="240"/>
      <c r="VMF41" s="239"/>
      <c r="VMG41" s="240"/>
      <c r="VMH41" s="239"/>
      <c r="VMI41" s="240"/>
      <c r="VMJ41" s="239"/>
      <c r="VMK41" s="240"/>
      <c r="VML41" s="239"/>
      <c r="VMM41" s="240"/>
      <c r="VMN41" s="239"/>
      <c r="VMO41" s="240"/>
      <c r="VMP41" s="239"/>
      <c r="VMQ41" s="240"/>
      <c r="VMR41" s="239"/>
      <c r="VMS41" s="240"/>
      <c r="VMT41" s="239"/>
      <c r="VMU41" s="240"/>
      <c r="VMV41" s="239"/>
      <c r="VMW41" s="240"/>
      <c r="VMX41" s="239"/>
      <c r="VMY41" s="240"/>
      <c r="VMZ41" s="239"/>
      <c r="VNA41" s="240"/>
      <c r="VNB41" s="239"/>
      <c r="VNC41" s="240"/>
      <c r="VND41" s="239"/>
      <c r="VNE41" s="240"/>
      <c r="VNF41" s="239"/>
      <c r="VNG41" s="240"/>
      <c r="VNH41" s="239"/>
      <c r="VNI41" s="240"/>
      <c r="VNJ41" s="239"/>
      <c r="VNK41" s="240"/>
      <c r="VNL41" s="239"/>
      <c r="VNM41" s="240"/>
      <c r="VNN41" s="239"/>
      <c r="VNO41" s="240"/>
      <c r="VNP41" s="239"/>
      <c r="VNQ41" s="240"/>
      <c r="VNR41" s="239"/>
      <c r="VNS41" s="240"/>
      <c r="VNT41" s="239"/>
      <c r="VNU41" s="240"/>
      <c r="VNV41" s="239"/>
      <c r="VNW41" s="240"/>
      <c r="VNX41" s="239"/>
      <c r="VNY41" s="240"/>
      <c r="VNZ41" s="239"/>
      <c r="VOA41" s="240"/>
      <c r="VOB41" s="239"/>
      <c r="VOC41" s="240"/>
      <c r="VOD41" s="239"/>
      <c r="VOE41" s="240"/>
      <c r="VOF41" s="239"/>
      <c r="VOG41" s="240"/>
      <c r="VOH41" s="239"/>
      <c r="VOI41" s="240"/>
      <c r="VOJ41" s="239"/>
      <c r="VOK41" s="240"/>
      <c r="VOL41" s="239"/>
      <c r="VOM41" s="240"/>
      <c r="VON41" s="239"/>
      <c r="VOO41" s="240"/>
      <c r="VOP41" s="239"/>
      <c r="VOQ41" s="240"/>
      <c r="VOR41" s="239"/>
      <c r="VOS41" s="240"/>
      <c r="VOT41" s="239"/>
      <c r="VOU41" s="240"/>
      <c r="VOV41" s="239"/>
      <c r="VOW41" s="240"/>
      <c r="VOX41" s="239"/>
      <c r="VOY41" s="240"/>
      <c r="VOZ41" s="239"/>
      <c r="VPA41" s="240"/>
      <c r="VPB41" s="239"/>
      <c r="VPC41" s="240"/>
      <c r="VPD41" s="239"/>
      <c r="VPE41" s="240"/>
      <c r="VPF41" s="239"/>
      <c r="VPG41" s="240"/>
      <c r="VPH41" s="239"/>
      <c r="VPI41" s="240"/>
      <c r="VPJ41" s="239"/>
      <c r="VPK41" s="240"/>
      <c r="VPL41" s="239"/>
      <c r="VPM41" s="240"/>
      <c r="VPN41" s="239"/>
      <c r="VPO41" s="240"/>
      <c r="VPP41" s="239"/>
      <c r="VPQ41" s="240"/>
      <c r="VPR41" s="239"/>
      <c r="VPS41" s="240"/>
      <c r="VPT41" s="239"/>
      <c r="VPU41" s="240"/>
      <c r="VPV41" s="239"/>
      <c r="VPW41" s="240"/>
      <c r="VPX41" s="239"/>
      <c r="VPY41" s="240"/>
      <c r="VPZ41" s="239"/>
      <c r="VQA41" s="240"/>
      <c r="VQB41" s="239"/>
      <c r="VQC41" s="240"/>
      <c r="VQD41" s="239"/>
      <c r="VQE41" s="240"/>
      <c r="VQF41" s="239"/>
      <c r="VQG41" s="240"/>
      <c r="VQH41" s="239"/>
      <c r="VQI41" s="240"/>
      <c r="VQJ41" s="239"/>
      <c r="VQK41" s="240"/>
      <c r="VQL41" s="239"/>
      <c r="VQM41" s="240"/>
      <c r="VQN41" s="239"/>
      <c r="VQO41" s="240"/>
      <c r="VQP41" s="239"/>
      <c r="VQQ41" s="240"/>
      <c r="VQR41" s="239"/>
      <c r="VQS41" s="240"/>
      <c r="VQT41" s="239"/>
      <c r="VQU41" s="240"/>
      <c r="VQV41" s="239"/>
      <c r="VQW41" s="240"/>
      <c r="VQX41" s="239"/>
      <c r="VQY41" s="240"/>
      <c r="VQZ41" s="239"/>
      <c r="VRA41" s="240"/>
      <c r="VRB41" s="239"/>
      <c r="VRC41" s="240"/>
      <c r="VRD41" s="239"/>
      <c r="VRE41" s="240"/>
      <c r="VRF41" s="239"/>
      <c r="VRG41" s="240"/>
      <c r="VRH41" s="239"/>
      <c r="VRI41" s="240"/>
      <c r="VRJ41" s="239"/>
      <c r="VRK41" s="240"/>
      <c r="VRL41" s="239"/>
      <c r="VRM41" s="240"/>
      <c r="VRN41" s="239"/>
      <c r="VRO41" s="240"/>
      <c r="VRP41" s="239"/>
      <c r="VRQ41" s="240"/>
      <c r="VRR41" s="239"/>
      <c r="VRS41" s="240"/>
      <c r="VRT41" s="239"/>
      <c r="VRU41" s="240"/>
      <c r="VRV41" s="239"/>
      <c r="VRW41" s="240"/>
      <c r="VRX41" s="239"/>
      <c r="VRY41" s="240"/>
      <c r="VRZ41" s="239"/>
      <c r="VSA41" s="240"/>
      <c r="VSB41" s="239"/>
      <c r="VSC41" s="240"/>
      <c r="VSD41" s="239"/>
      <c r="VSE41" s="240"/>
      <c r="VSF41" s="239"/>
      <c r="VSG41" s="240"/>
      <c r="VSH41" s="239"/>
      <c r="VSI41" s="240"/>
      <c r="VSJ41" s="239"/>
      <c r="VSK41" s="240"/>
      <c r="VSL41" s="239"/>
      <c r="VSM41" s="240"/>
      <c r="VSN41" s="239"/>
      <c r="VSO41" s="240"/>
      <c r="VSP41" s="239"/>
      <c r="VSQ41" s="240"/>
      <c r="VSR41" s="239"/>
      <c r="VSS41" s="240"/>
      <c r="VST41" s="239"/>
      <c r="VSU41" s="240"/>
      <c r="VSV41" s="239"/>
      <c r="VSW41" s="240"/>
      <c r="VSX41" s="239"/>
      <c r="VSY41" s="240"/>
      <c r="VSZ41" s="239"/>
      <c r="VTA41" s="240"/>
      <c r="VTB41" s="239"/>
      <c r="VTC41" s="240"/>
      <c r="VTD41" s="239"/>
      <c r="VTE41" s="240"/>
      <c r="VTF41" s="239"/>
      <c r="VTG41" s="240"/>
      <c r="VTH41" s="239"/>
      <c r="VTI41" s="240"/>
      <c r="VTJ41" s="239"/>
      <c r="VTK41" s="240"/>
      <c r="VTL41" s="239"/>
      <c r="VTM41" s="240"/>
      <c r="VTN41" s="239"/>
      <c r="VTO41" s="240"/>
      <c r="VTP41" s="239"/>
      <c r="VTQ41" s="240"/>
      <c r="VTR41" s="239"/>
      <c r="VTS41" s="240"/>
      <c r="VTT41" s="239"/>
      <c r="VTU41" s="240"/>
      <c r="VTV41" s="239"/>
      <c r="VTW41" s="240"/>
      <c r="VTX41" s="239"/>
      <c r="VTY41" s="240"/>
      <c r="VTZ41" s="239"/>
      <c r="VUA41" s="240"/>
      <c r="VUB41" s="239"/>
      <c r="VUC41" s="240"/>
      <c r="VUD41" s="239"/>
      <c r="VUE41" s="240"/>
      <c r="VUF41" s="239"/>
      <c r="VUG41" s="240"/>
      <c r="VUH41" s="239"/>
      <c r="VUI41" s="240"/>
      <c r="VUJ41" s="239"/>
      <c r="VUK41" s="240"/>
      <c r="VUL41" s="239"/>
      <c r="VUM41" s="240"/>
      <c r="VUN41" s="239"/>
      <c r="VUO41" s="240"/>
      <c r="VUP41" s="239"/>
      <c r="VUQ41" s="240"/>
      <c r="VUR41" s="239"/>
      <c r="VUS41" s="240"/>
      <c r="VUT41" s="239"/>
      <c r="VUU41" s="240"/>
      <c r="VUV41" s="239"/>
      <c r="VUW41" s="240"/>
      <c r="VUX41" s="239"/>
      <c r="VUY41" s="240"/>
      <c r="VUZ41" s="239"/>
      <c r="VVA41" s="240"/>
      <c r="VVB41" s="239"/>
      <c r="VVC41" s="240"/>
      <c r="VVD41" s="239"/>
      <c r="VVE41" s="240"/>
      <c r="VVF41" s="239"/>
      <c r="VVG41" s="240"/>
      <c r="VVH41" s="239"/>
      <c r="VVI41" s="240"/>
      <c r="VVJ41" s="239"/>
      <c r="VVK41" s="240"/>
      <c r="VVL41" s="239"/>
      <c r="VVM41" s="240"/>
      <c r="VVN41" s="239"/>
      <c r="VVO41" s="240"/>
      <c r="VVP41" s="239"/>
      <c r="VVQ41" s="240"/>
      <c r="VVR41" s="239"/>
      <c r="VVS41" s="240"/>
      <c r="VVT41" s="239"/>
      <c r="VVU41" s="240"/>
      <c r="VVV41" s="239"/>
      <c r="VVW41" s="240"/>
      <c r="VVX41" s="239"/>
      <c r="VVY41" s="240"/>
      <c r="VVZ41" s="239"/>
      <c r="VWA41" s="240"/>
      <c r="VWB41" s="239"/>
      <c r="VWC41" s="240"/>
      <c r="VWD41" s="239"/>
      <c r="VWE41" s="240"/>
      <c r="VWF41" s="239"/>
      <c r="VWG41" s="240"/>
      <c r="VWH41" s="239"/>
      <c r="VWI41" s="240"/>
      <c r="VWJ41" s="239"/>
      <c r="VWK41" s="240"/>
      <c r="VWL41" s="239"/>
      <c r="VWM41" s="240"/>
      <c r="VWN41" s="239"/>
      <c r="VWO41" s="240"/>
      <c r="VWP41" s="239"/>
      <c r="VWQ41" s="240"/>
      <c r="VWR41" s="239"/>
      <c r="VWS41" s="240"/>
      <c r="VWT41" s="239"/>
      <c r="VWU41" s="240"/>
      <c r="VWV41" s="239"/>
      <c r="VWW41" s="240"/>
      <c r="VWX41" s="239"/>
      <c r="VWY41" s="240"/>
      <c r="VWZ41" s="239"/>
      <c r="VXA41" s="240"/>
      <c r="VXB41" s="239"/>
      <c r="VXC41" s="240"/>
      <c r="VXD41" s="239"/>
      <c r="VXE41" s="240"/>
      <c r="VXF41" s="239"/>
      <c r="VXG41" s="240"/>
      <c r="VXH41" s="239"/>
      <c r="VXI41" s="240"/>
      <c r="VXJ41" s="239"/>
      <c r="VXK41" s="240"/>
      <c r="VXL41" s="239"/>
      <c r="VXM41" s="240"/>
      <c r="VXN41" s="239"/>
      <c r="VXO41" s="240"/>
      <c r="VXP41" s="239"/>
      <c r="VXQ41" s="240"/>
      <c r="VXR41" s="239"/>
      <c r="VXS41" s="240"/>
      <c r="VXT41" s="239"/>
      <c r="VXU41" s="240"/>
      <c r="VXV41" s="239"/>
      <c r="VXW41" s="240"/>
      <c r="VXX41" s="239"/>
      <c r="VXY41" s="240"/>
      <c r="VXZ41" s="239"/>
      <c r="VYA41" s="240"/>
      <c r="VYB41" s="239"/>
      <c r="VYC41" s="240"/>
      <c r="VYD41" s="239"/>
      <c r="VYE41" s="240"/>
      <c r="VYF41" s="239"/>
      <c r="VYG41" s="240"/>
      <c r="VYH41" s="239"/>
      <c r="VYI41" s="240"/>
      <c r="VYJ41" s="239"/>
      <c r="VYK41" s="240"/>
      <c r="VYL41" s="239"/>
      <c r="VYM41" s="240"/>
      <c r="VYN41" s="239"/>
      <c r="VYO41" s="240"/>
      <c r="VYP41" s="239"/>
      <c r="VYQ41" s="240"/>
      <c r="VYR41" s="239"/>
      <c r="VYS41" s="240"/>
      <c r="VYT41" s="239"/>
      <c r="VYU41" s="240"/>
      <c r="VYV41" s="239"/>
      <c r="VYW41" s="240"/>
      <c r="VYX41" s="239"/>
      <c r="VYY41" s="240"/>
      <c r="VYZ41" s="239"/>
      <c r="VZA41" s="240"/>
      <c r="VZB41" s="239"/>
      <c r="VZC41" s="240"/>
      <c r="VZD41" s="239"/>
      <c r="VZE41" s="240"/>
      <c r="VZF41" s="239"/>
      <c r="VZG41" s="240"/>
      <c r="VZH41" s="239"/>
      <c r="VZI41" s="240"/>
      <c r="VZJ41" s="239"/>
      <c r="VZK41" s="240"/>
      <c r="VZL41" s="239"/>
      <c r="VZM41" s="240"/>
      <c r="VZN41" s="239"/>
      <c r="VZO41" s="240"/>
      <c r="VZP41" s="239"/>
      <c r="VZQ41" s="240"/>
      <c r="VZR41" s="239"/>
      <c r="VZS41" s="240"/>
      <c r="VZT41" s="239"/>
      <c r="VZU41" s="240"/>
      <c r="VZV41" s="239"/>
      <c r="VZW41" s="240"/>
      <c r="VZX41" s="239"/>
      <c r="VZY41" s="240"/>
      <c r="VZZ41" s="239"/>
      <c r="WAA41" s="240"/>
      <c r="WAB41" s="239"/>
      <c r="WAC41" s="240"/>
      <c r="WAD41" s="239"/>
      <c r="WAE41" s="240"/>
      <c r="WAF41" s="239"/>
      <c r="WAG41" s="240"/>
      <c r="WAH41" s="239"/>
      <c r="WAI41" s="240"/>
      <c r="WAJ41" s="239"/>
      <c r="WAK41" s="240"/>
      <c r="WAL41" s="239"/>
      <c r="WAM41" s="240"/>
      <c r="WAN41" s="239"/>
      <c r="WAO41" s="240"/>
      <c r="WAP41" s="239"/>
      <c r="WAQ41" s="240"/>
      <c r="WAR41" s="239"/>
      <c r="WAS41" s="240"/>
      <c r="WAT41" s="239"/>
      <c r="WAU41" s="240"/>
      <c r="WAV41" s="239"/>
      <c r="WAW41" s="240"/>
      <c r="WAX41" s="239"/>
      <c r="WAY41" s="240"/>
      <c r="WAZ41" s="239"/>
      <c r="WBA41" s="240"/>
      <c r="WBB41" s="239"/>
      <c r="WBC41" s="240"/>
      <c r="WBD41" s="239"/>
      <c r="WBE41" s="240"/>
      <c r="WBF41" s="239"/>
      <c r="WBG41" s="240"/>
      <c r="WBH41" s="239"/>
      <c r="WBI41" s="240"/>
      <c r="WBJ41" s="239"/>
      <c r="WBK41" s="240"/>
      <c r="WBL41" s="239"/>
      <c r="WBM41" s="240"/>
      <c r="WBN41" s="239"/>
      <c r="WBO41" s="240"/>
      <c r="WBP41" s="239"/>
      <c r="WBQ41" s="240"/>
      <c r="WBR41" s="239"/>
      <c r="WBS41" s="240"/>
      <c r="WBT41" s="239"/>
      <c r="WBU41" s="240"/>
      <c r="WBV41" s="239"/>
      <c r="WBW41" s="240"/>
      <c r="WBX41" s="239"/>
      <c r="WBY41" s="240"/>
      <c r="WBZ41" s="239"/>
      <c r="WCA41" s="240"/>
      <c r="WCB41" s="239"/>
      <c r="WCC41" s="240"/>
      <c r="WCD41" s="239"/>
      <c r="WCE41" s="240"/>
      <c r="WCF41" s="239"/>
      <c r="WCG41" s="240"/>
      <c r="WCH41" s="239"/>
      <c r="WCI41" s="240"/>
      <c r="WCJ41" s="239"/>
      <c r="WCK41" s="240"/>
      <c r="WCL41" s="239"/>
      <c r="WCM41" s="240"/>
      <c r="WCN41" s="239"/>
      <c r="WCO41" s="240"/>
      <c r="WCP41" s="239"/>
      <c r="WCQ41" s="240"/>
      <c r="WCR41" s="239"/>
      <c r="WCS41" s="240"/>
      <c r="WCT41" s="239"/>
      <c r="WCU41" s="240"/>
      <c r="WCV41" s="239"/>
      <c r="WCW41" s="240"/>
      <c r="WCX41" s="239"/>
      <c r="WCY41" s="240"/>
      <c r="WCZ41" s="239"/>
      <c r="WDA41" s="240"/>
      <c r="WDB41" s="239"/>
      <c r="WDC41" s="240"/>
      <c r="WDD41" s="239"/>
      <c r="WDE41" s="240"/>
      <c r="WDF41" s="239"/>
      <c r="WDG41" s="240"/>
      <c r="WDH41" s="239"/>
      <c r="WDI41" s="240"/>
      <c r="WDJ41" s="239"/>
      <c r="WDK41" s="240"/>
      <c r="WDL41" s="239"/>
      <c r="WDM41" s="240"/>
      <c r="WDN41" s="239"/>
      <c r="WDO41" s="240"/>
      <c r="WDP41" s="239"/>
      <c r="WDQ41" s="240"/>
      <c r="WDR41" s="239"/>
      <c r="WDS41" s="240"/>
      <c r="WDT41" s="239"/>
      <c r="WDU41" s="240"/>
      <c r="WDV41" s="239"/>
      <c r="WDW41" s="240"/>
      <c r="WDX41" s="239"/>
      <c r="WDY41" s="240"/>
      <c r="WDZ41" s="239"/>
      <c r="WEA41" s="240"/>
      <c r="WEB41" s="239"/>
      <c r="WEC41" s="240"/>
      <c r="WED41" s="239"/>
      <c r="WEE41" s="240"/>
      <c r="WEF41" s="239"/>
      <c r="WEG41" s="240"/>
      <c r="WEH41" s="239"/>
      <c r="WEI41" s="240"/>
      <c r="WEJ41" s="239"/>
      <c r="WEK41" s="240"/>
      <c r="WEL41" s="239"/>
      <c r="WEM41" s="240"/>
      <c r="WEN41" s="239"/>
      <c r="WEO41" s="240"/>
      <c r="WEP41" s="239"/>
      <c r="WEQ41" s="240"/>
      <c r="WER41" s="239"/>
      <c r="WES41" s="240"/>
      <c r="WET41" s="239"/>
      <c r="WEU41" s="240"/>
      <c r="WEV41" s="239"/>
      <c r="WEW41" s="240"/>
      <c r="WEX41" s="239"/>
      <c r="WEY41" s="240"/>
      <c r="WEZ41" s="239"/>
      <c r="WFA41" s="240"/>
      <c r="WFB41" s="239"/>
      <c r="WFC41" s="240"/>
      <c r="WFD41" s="239"/>
      <c r="WFE41" s="240"/>
      <c r="WFF41" s="239"/>
      <c r="WFG41" s="240"/>
      <c r="WFH41" s="239"/>
      <c r="WFI41" s="240"/>
      <c r="WFJ41" s="239"/>
      <c r="WFK41" s="240"/>
      <c r="WFL41" s="239"/>
      <c r="WFM41" s="240"/>
      <c r="WFN41" s="239"/>
      <c r="WFO41" s="240"/>
      <c r="WFP41" s="239"/>
      <c r="WFQ41" s="240"/>
      <c r="WFR41" s="239"/>
      <c r="WFS41" s="240"/>
      <c r="WFT41" s="239"/>
      <c r="WFU41" s="240"/>
      <c r="WFV41" s="239"/>
      <c r="WFW41" s="240"/>
      <c r="WFX41" s="239"/>
      <c r="WFY41" s="240"/>
      <c r="WFZ41" s="239"/>
      <c r="WGA41" s="240"/>
      <c r="WGB41" s="239"/>
      <c r="WGC41" s="240"/>
      <c r="WGD41" s="239"/>
      <c r="WGE41" s="240"/>
      <c r="WGF41" s="239"/>
      <c r="WGG41" s="240"/>
      <c r="WGH41" s="239"/>
      <c r="WGI41" s="240"/>
      <c r="WGJ41" s="239"/>
      <c r="WGK41" s="240"/>
      <c r="WGL41" s="239"/>
      <c r="WGM41" s="240"/>
      <c r="WGN41" s="239"/>
      <c r="WGO41" s="240"/>
      <c r="WGP41" s="239"/>
      <c r="WGQ41" s="240"/>
      <c r="WGR41" s="239"/>
      <c r="WGS41" s="240"/>
      <c r="WGT41" s="239"/>
      <c r="WGU41" s="240"/>
      <c r="WGV41" s="239"/>
      <c r="WGW41" s="240"/>
      <c r="WGX41" s="239"/>
      <c r="WGY41" s="240"/>
      <c r="WGZ41" s="239"/>
      <c r="WHA41" s="240"/>
      <c r="WHB41" s="239"/>
      <c r="WHC41" s="240"/>
      <c r="WHD41" s="239"/>
      <c r="WHE41" s="240"/>
      <c r="WHF41" s="239"/>
      <c r="WHG41" s="240"/>
      <c r="WHH41" s="239"/>
      <c r="WHI41" s="240"/>
      <c r="WHJ41" s="239"/>
      <c r="WHK41" s="240"/>
      <c r="WHL41" s="239"/>
      <c r="WHM41" s="240"/>
      <c r="WHN41" s="239"/>
      <c r="WHO41" s="240"/>
      <c r="WHP41" s="239"/>
      <c r="WHQ41" s="240"/>
      <c r="WHR41" s="239"/>
      <c r="WHS41" s="240"/>
      <c r="WHT41" s="239"/>
      <c r="WHU41" s="240"/>
      <c r="WHV41" s="239"/>
      <c r="WHW41" s="240"/>
      <c r="WHX41" s="239"/>
      <c r="WHY41" s="240"/>
      <c r="WHZ41" s="239"/>
      <c r="WIA41" s="240"/>
      <c r="WIB41" s="239"/>
      <c r="WIC41" s="240"/>
      <c r="WID41" s="239"/>
      <c r="WIE41" s="240"/>
      <c r="WIF41" s="239"/>
      <c r="WIG41" s="240"/>
      <c r="WIH41" s="239"/>
      <c r="WII41" s="240"/>
      <c r="WIJ41" s="239"/>
      <c r="WIK41" s="240"/>
      <c r="WIL41" s="239"/>
      <c r="WIM41" s="240"/>
      <c r="WIN41" s="239"/>
      <c r="WIO41" s="240"/>
      <c r="WIP41" s="239"/>
      <c r="WIQ41" s="240"/>
      <c r="WIR41" s="239"/>
      <c r="WIS41" s="240"/>
      <c r="WIT41" s="239"/>
      <c r="WIU41" s="240"/>
      <c r="WIV41" s="239"/>
      <c r="WIW41" s="240"/>
      <c r="WIX41" s="239"/>
      <c r="WIY41" s="240"/>
      <c r="WIZ41" s="239"/>
      <c r="WJA41" s="240"/>
      <c r="WJB41" s="239"/>
      <c r="WJC41" s="240"/>
      <c r="WJD41" s="239"/>
      <c r="WJE41" s="240"/>
      <c r="WJF41" s="239"/>
      <c r="WJG41" s="240"/>
      <c r="WJH41" s="239"/>
      <c r="WJI41" s="240"/>
      <c r="WJJ41" s="239"/>
      <c r="WJK41" s="240"/>
      <c r="WJL41" s="239"/>
      <c r="WJM41" s="240"/>
      <c r="WJN41" s="239"/>
      <c r="WJO41" s="240"/>
      <c r="WJP41" s="239"/>
      <c r="WJQ41" s="240"/>
      <c r="WJR41" s="239"/>
      <c r="WJS41" s="240"/>
      <c r="WJT41" s="239"/>
      <c r="WJU41" s="240"/>
      <c r="WJV41" s="239"/>
      <c r="WJW41" s="240"/>
      <c r="WJX41" s="239"/>
      <c r="WJY41" s="240"/>
      <c r="WJZ41" s="239"/>
      <c r="WKA41" s="240"/>
      <c r="WKB41" s="239"/>
      <c r="WKC41" s="240"/>
      <c r="WKD41" s="239"/>
      <c r="WKE41" s="240"/>
      <c r="WKF41" s="239"/>
      <c r="WKG41" s="240"/>
      <c r="WKH41" s="239"/>
      <c r="WKI41" s="240"/>
      <c r="WKJ41" s="239"/>
      <c r="WKK41" s="240"/>
      <c r="WKL41" s="239"/>
      <c r="WKM41" s="240"/>
      <c r="WKN41" s="239"/>
      <c r="WKO41" s="240"/>
      <c r="WKP41" s="239"/>
      <c r="WKQ41" s="240"/>
      <c r="WKR41" s="239"/>
      <c r="WKS41" s="240"/>
      <c r="WKT41" s="239"/>
      <c r="WKU41" s="240"/>
      <c r="WKV41" s="239"/>
      <c r="WKW41" s="240"/>
      <c r="WKX41" s="239"/>
      <c r="WKY41" s="240"/>
      <c r="WKZ41" s="239"/>
      <c r="WLA41" s="240"/>
      <c r="WLB41" s="239"/>
      <c r="WLC41" s="240"/>
      <c r="WLD41" s="239"/>
      <c r="WLE41" s="240"/>
      <c r="WLF41" s="239"/>
      <c r="WLG41" s="240"/>
      <c r="WLH41" s="239"/>
      <c r="WLI41" s="240"/>
      <c r="WLJ41" s="239"/>
      <c r="WLK41" s="240"/>
      <c r="WLL41" s="239"/>
      <c r="WLM41" s="240"/>
      <c r="WLN41" s="239"/>
      <c r="WLO41" s="240"/>
      <c r="WLP41" s="239"/>
      <c r="WLQ41" s="240"/>
      <c r="WLR41" s="239"/>
      <c r="WLS41" s="240"/>
      <c r="WLT41" s="239"/>
      <c r="WLU41" s="240"/>
      <c r="WLV41" s="239"/>
      <c r="WLW41" s="240"/>
      <c r="WLX41" s="239"/>
      <c r="WLY41" s="240"/>
      <c r="WLZ41" s="239"/>
      <c r="WMA41" s="240"/>
      <c r="WMB41" s="239"/>
      <c r="WMC41" s="240"/>
      <c r="WMD41" s="239"/>
      <c r="WME41" s="240"/>
      <c r="WMF41" s="239"/>
      <c r="WMG41" s="240"/>
      <c r="WMH41" s="239"/>
      <c r="WMI41" s="240"/>
      <c r="WMJ41" s="239"/>
      <c r="WMK41" s="240"/>
      <c r="WML41" s="239"/>
      <c r="WMM41" s="240"/>
      <c r="WMN41" s="239"/>
      <c r="WMO41" s="240"/>
      <c r="WMP41" s="239"/>
      <c r="WMQ41" s="240"/>
      <c r="WMR41" s="239"/>
      <c r="WMS41" s="240"/>
      <c r="WMT41" s="239"/>
      <c r="WMU41" s="240"/>
      <c r="WMV41" s="239"/>
      <c r="WMW41" s="240"/>
      <c r="WMX41" s="239"/>
      <c r="WMY41" s="240"/>
      <c r="WMZ41" s="239"/>
      <c r="WNA41" s="240"/>
      <c r="WNB41" s="239"/>
      <c r="WNC41" s="240"/>
      <c r="WND41" s="239"/>
      <c r="WNE41" s="240"/>
      <c r="WNF41" s="239"/>
      <c r="WNG41" s="240"/>
      <c r="WNH41" s="239"/>
      <c r="WNI41" s="240"/>
      <c r="WNJ41" s="239"/>
      <c r="WNK41" s="240"/>
      <c r="WNL41" s="239"/>
      <c r="WNM41" s="240"/>
      <c r="WNN41" s="239"/>
      <c r="WNO41" s="240"/>
      <c r="WNP41" s="239"/>
      <c r="WNQ41" s="240"/>
      <c r="WNR41" s="239"/>
      <c r="WNS41" s="240"/>
      <c r="WNT41" s="239"/>
      <c r="WNU41" s="240"/>
      <c r="WNV41" s="239"/>
      <c r="WNW41" s="240"/>
      <c r="WNX41" s="239"/>
      <c r="WNY41" s="240"/>
      <c r="WNZ41" s="239"/>
      <c r="WOA41" s="240"/>
      <c r="WOB41" s="239"/>
      <c r="WOC41" s="240"/>
      <c r="WOD41" s="239"/>
      <c r="WOE41" s="240"/>
      <c r="WOF41" s="239"/>
      <c r="WOG41" s="240"/>
      <c r="WOH41" s="239"/>
      <c r="WOI41" s="240"/>
      <c r="WOJ41" s="239"/>
      <c r="WOK41" s="240"/>
      <c r="WOL41" s="239"/>
      <c r="WOM41" s="240"/>
      <c r="WON41" s="239"/>
      <c r="WOO41" s="240"/>
      <c r="WOP41" s="239"/>
      <c r="WOQ41" s="240"/>
      <c r="WOR41" s="239"/>
      <c r="WOS41" s="240"/>
      <c r="WOT41" s="239"/>
      <c r="WOU41" s="240"/>
      <c r="WOV41" s="239"/>
      <c r="WOW41" s="240"/>
      <c r="WOX41" s="239"/>
      <c r="WOY41" s="240"/>
      <c r="WOZ41" s="239"/>
      <c r="WPA41" s="240"/>
      <c r="WPB41" s="239"/>
      <c r="WPC41" s="240"/>
      <c r="WPD41" s="239"/>
      <c r="WPE41" s="240"/>
      <c r="WPF41" s="239"/>
      <c r="WPG41" s="240"/>
      <c r="WPH41" s="239"/>
      <c r="WPI41" s="240"/>
      <c r="WPJ41" s="239"/>
      <c r="WPK41" s="240"/>
      <c r="WPL41" s="239"/>
      <c r="WPM41" s="240"/>
      <c r="WPN41" s="239"/>
      <c r="WPO41" s="240"/>
      <c r="WPP41" s="239"/>
      <c r="WPQ41" s="240"/>
      <c r="WPR41" s="239"/>
      <c r="WPS41" s="240"/>
      <c r="WPT41" s="239"/>
      <c r="WPU41" s="240"/>
      <c r="WPV41" s="239"/>
      <c r="WPW41" s="240"/>
      <c r="WPX41" s="239"/>
      <c r="WPY41" s="240"/>
      <c r="WPZ41" s="239"/>
      <c r="WQA41" s="240"/>
      <c r="WQB41" s="239"/>
      <c r="WQC41" s="240"/>
      <c r="WQD41" s="239"/>
      <c r="WQE41" s="240"/>
      <c r="WQF41" s="239"/>
      <c r="WQG41" s="240"/>
      <c r="WQH41" s="239"/>
      <c r="WQI41" s="240"/>
      <c r="WQJ41" s="239"/>
      <c r="WQK41" s="240"/>
      <c r="WQL41" s="239"/>
      <c r="WQM41" s="240"/>
      <c r="WQN41" s="239"/>
      <c r="WQO41" s="240"/>
      <c r="WQP41" s="239"/>
      <c r="WQQ41" s="240"/>
      <c r="WQR41" s="239"/>
      <c r="WQS41" s="240"/>
      <c r="WQT41" s="239"/>
      <c r="WQU41" s="240"/>
      <c r="WQV41" s="239"/>
      <c r="WQW41" s="240"/>
      <c r="WQX41" s="239"/>
      <c r="WQY41" s="240"/>
      <c r="WQZ41" s="239"/>
      <c r="WRA41" s="240"/>
      <c r="WRB41" s="239"/>
      <c r="WRC41" s="240"/>
      <c r="WRD41" s="239"/>
      <c r="WRE41" s="240"/>
      <c r="WRF41" s="239"/>
      <c r="WRG41" s="240"/>
      <c r="WRH41" s="239"/>
      <c r="WRI41" s="240"/>
      <c r="WRJ41" s="239"/>
      <c r="WRK41" s="240"/>
      <c r="WRL41" s="239"/>
      <c r="WRM41" s="240"/>
      <c r="WRN41" s="239"/>
      <c r="WRO41" s="240"/>
      <c r="WRP41" s="239"/>
      <c r="WRQ41" s="240"/>
      <c r="WRR41" s="239"/>
      <c r="WRS41" s="240"/>
      <c r="WRT41" s="239"/>
      <c r="WRU41" s="240"/>
      <c r="WRV41" s="239"/>
      <c r="WRW41" s="240"/>
      <c r="WRX41" s="239"/>
      <c r="WRY41" s="240"/>
      <c r="WRZ41" s="239"/>
      <c r="WSA41" s="240"/>
      <c r="WSB41" s="239"/>
      <c r="WSC41" s="240"/>
      <c r="WSD41" s="239"/>
      <c r="WSE41" s="240"/>
      <c r="WSF41" s="239"/>
      <c r="WSG41" s="240"/>
      <c r="WSH41" s="239"/>
      <c r="WSI41" s="240"/>
      <c r="WSJ41" s="239"/>
      <c r="WSK41" s="240"/>
      <c r="WSL41" s="239"/>
      <c r="WSM41" s="240"/>
      <c r="WSN41" s="239"/>
      <c r="WSO41" s="240"/>
      <c r="WSP41" s="239"/>
      <c r="WSQ41" s="240"/>
      <c r="WSR41" s="239"/>
      <c r="WSS41" s="240"/>
      <c r="WST41" s="239"/>
      <c r="WSU41" s="240"/>
      <c r="WSV41" s="239"/>
      <c r="WSW41" s="240"/>
      <c r="WSX41" s="239"/>
      <c r="WSY41" s="240"/>
      <c r="WSZ41" s="239"/>
      <c r="WTA41" s="240"/>
      <c r="WTB41" s="239"/>
      <c r="WTC41" s="240"/>
      <c r="WTD41" s="239"/>
      <c r="WTE41" s="240"/>
      <c r="WTF41" s="239"/>
      <c r="WTG41" s="240"/>
      <c r="WTH41" s="239"/>
      <c r="WTI41" s="240"/>
      <c r="WTJ41" s="239"/>
      <c r="WTK41" s="240"/>
      <c r="WTL41" s="239"/>
      <c r="WTM41" s="240"/>
      <c r="WTN41" s="239"/>
      <c r="WTO41" s="240"/>
      <c r="WTP41" s="239"/>
      <c r="WTQ41" s="240"/>
      <c r="WTR41" s="239"/>
      <c r="WTS41" s="240"/>
      <c r="WTT41" s="239"/>
      <c r="WTU41" s="240"/>
      <c r="WTV41" s="239"/>
      <c r="WTW41" s="240"/>
      <c r="WTX41" s="239"/>
      <c r="WTY41" s="240"/>
      <c r="WTZ41" s="239"/>
      <c r="WUA41" s="240"/>
      <c r="WUB41" s="239"/>
      <c r="WUC41" s="240"/>
      <c r="WUD41" s="239"/>
      <c r="WUE41" s="240"/>
      <c r="WUF41" s="239"/>
      <c r="WUG41" s="240"/>
      <c r="WUH41" s="239"/>
      <c r="WUI41" s="240"/>
      <c r="WUJ41" s="239"/>
      <c r="WUK41" s="240"/>
      <c r="WUL41" s="239"/>
      <c r="WUM41" s="240"/>
      <c r="WUN41" s="239"/>
      <c r="WUO41" s="240"/>
      <c r="WUP41" s="239"/>
      <c r="WUQ41" s="240"/>
      <c r="WUR41" s="239"/>
      <c r="WUS41" s="240"/>
      <c r="WUT41" s="239"/>
      <c r="WUU41" s="240"/>
      <c r="WUV41" s="239"/>
      <c r="WUW41" s="240"/>
      <c r="WUX41" s="239"/>
      <c r="WUY41" s="240"/>
      <c r="WUZ41" s="239"/>
      <c r="WVA41" s="240"/>
      <c r="WVB41" s="239"/>
      <c r="WVC41" s="240"/>
      <c r="WVD41" s="239"/>
      <c r="WVE41" s="240"/>
      <c r="WVF41" s="239"/>
      <c r="WVG41" s="240"/>
      <c r="WVH41" s="239"/>
      <c r="WVI41" s="240"/>
      <c r="WVJ41" s="239"/>
      <c r="WVK41" s="240"/>
      <c r="WVL41" s="239"/>
      <c r="WVM41" s="240"/>
      <c r="WVN41" s="239"/>
      <c r="WVO41" s="240"/>
      <c r="WVP41" s="239"/>
      <c r="WVQ41" s="240"/>
      <c r="WVR41" s="239"/>
      <c r="WVS41" s="240"/>
      <c r="WVT41" s="239"/>
      <c r="WVU41" s="240"/>
      <c r="WVV41" s="239"/>
      <c r="WVW41" s="240"/>
      <c r="WVX41" s="239"/>
      <c r="WVY41" s="240"/>
      <c r="WVZ41" s="239"/>
      <c r="WWA41" s="240"/>
      <c r="WWB41" s="239"/>
      <c r="WWC41" s="240"/>
      <c r="WWD41" s="239"/>
      <c r="WWE41" s="240"/>
      <c r="WWF41" s="239"/>
      <c r="WWG41" s="240"/>
      <c r="WWH41" s="239"/>
      <c r="WWI41" s="240"/>
      <c r="WWJ41" s="239"/>
      <c r="WWK41" s="240"/>
      <c r="WWL41" s="239"/>
      <c r="WWM41" s="240"/>
      <c r="WWN41" s="239"/>
      <c r="WWO41" s="240"/>
      <c r="WWP41" s="239"/>
      <c r="WWQ41" s="240"/>
      <c r="WWR41" s="239"/>
      <c r="WWS41" s="240"/>
      <c r="WWT41" s="239"/>
      <c r="WWU41" s="240"/>
      <c r="WWV41" s="239"/>
      <c r="WWW41" s="240"/>
      <c r="WWX41" s="239"/>
      <c r="WWY41" s="240"/>
      <c r="WWZ41" s="239"/>
      <c r="WXA41" s="240"/>
      <c r="WXB41" s="239"/>
      <c r="WXC41" s="240"/>
      <c r="WXD41" s="239"/>
      <c r="WXE41" s="240"/>
      <c r="WXF41" s="239"/>
      <c r="WXG41" s="240"/>
      <c r="WXH41" s="239"/>
      <c r="WXI41" s="240"/>
      <c r="WXJ41" s="239"/>
      <c r="WXK41" s="240"/>
      <c r="WXL41" s="239"/>
      <c r="WXM41" s="240"/>
      <c r="WXN41" s="239"/>
      <c r="WXO41" s="240"/>
      <c r="WXP41" s="239"/>
      <c r="WXQ41" s="240"/>
      <c r="WXR41" s="239"/>
      <c r="WXS41" s="240"/>
      <c r="WXT41" s="239"/>
      <c r="WXU41" s="240"/>
      <c r="WXV41" s="239"/>
      <c r="WXW41" s="240"/>
      <c r="WXX41" s="239"/>
      <c r="WXY41" s="240"/>
      <c r="WXZ41" s="239"/>
      <c r="WYA41" s="240"/>
      <c r="WYB41" s="239"/>
      <c r="WYC41" s="240"/>
      <c r="WYD41" s="239"/>
      <c r="WYE41" s="240"/>
      <c r="WYF41" s="239"/>
      <c r="WYG41" s="240"/>
      <c r="WYH41" s="239"/>
      <c r="WYI41" s="240"/>
      <c r="WYJ41" s="239"/>
      <c r="WYK41" s="240"/>
      <c r="WYL41" s="239"/>
      <c r="WYM41" s="240"/>
      <c r="WYN41" s="239"/>
      <c r="WYO41" s="240"/>
      <c r="WYP41" s="239"/>
      <c r="WYQ41" s="240"/>
      <c r="WYR41" s="239"/>
      <c r="WYS41" s="240"/>
      <c r="WYT41" s="239"/>
      <c r="WYU41" s="240"/>
      <c r="WYV41" s="239"/>
      <c r="WYW41" s="240"/>
      <c r="WYX41" s="239"/>
      <c r="WYY41" s="240"/>
      <c r="WYZ41" s="239"/>
      <c r="WZA41" s="240"/>
      <c r="WZB41" s="239"/>
      <c r="WZC41" s="240"/>
      <c r="WZD41" s="239"/>
      <c r="WZE41" s="240"/>
      <c r="WZF41" s="239"/>
      <c r="WZG41" s="240"/>
      <c r="WZH41" s="239"/>
      <c r="WZI41" s="240"/>
      <c r="WZJ41" s="239"/>
      <c r="WZK41" s="240"/>
      <c r="WZL41" s="239"/>
      <c r="WZM41" s="240"/>
      <c r="WZN41" s="239"/>
      <c r="WZO41" s="240"/>
      <c r="WZP41" s="239"/>
      <c r="WZQ41" s="240"/>
      <c r="WZR41" s="239"/>
      <c r="WZS41" s="240"/>
      <c r="WZT41" s="239"/>
      <c r="WZU41" s="240"/>
      <c r="WZV41" s="239"/>
      <c r="WZW41" s="240"/>
      <c r="WZX41" s="239"/>
      <c r="WZY41" s="240"/>
      <c r="WZZ41" s="239"/>
      <c r="XAA41" s="240"/>
      <c r="XAB41" s="239"/>
      <c r="XAC41" s="240"/>
      <c r="XAD41" s="239"/>
      <c r="XAE41" s="240"/>
      <c r="XAF41" s="239"/>
      <c r="XAG41" s="240"/>
      <c r="XAH41" s="239"/>
      <c r="XAI41" s="240"/>
      <c r="XAJ41" s="239"/>
      <c r="XAK41" s="240"/>
      <c r="XAL41" s="239"/>
      <c r="XAM41" s="240"/>
      <c r="XAN41" s="239"/>
      <c r="XAO41" s="240"/>
      <c r="XAP41" s="239"/>
      <c r="XAQ41" s="240"/>
      <c r="XAR41" s="239"/>
      <c r="XAS41" s="240"/>
      <c r="XAT41" s="239"/>
      <c r="XAU41" s="240"/>
      <c r="XAV41" s="239"/>
      <c r="XAW41" s="240"/>
      <c r="XAX41" s="239"/>
      <c r="XAY41" s="240"/>
      <c r="XAZ41" s="239"/>
      <c r="XBA41" s="240"/>
      <c r="XBB41" s="239"/>
      <c r="XBC41" s="240"/>
      <c r="XBD41" s="239"/>
      <c r="XBE41" s="240"/>
      <c r="XBF41" s="239"/>
      <c r="XBG41" s="240"/>
      <c r="XBH41" s="239"/>
      <c r="XBI41" s="240"/>
      <c r="XBJ41" s="239"/>
      <c r="XBK41" s="240"/>
      <c r="XBL41" s="239"/>
      <c r="XBM41" s="240"/>
      <c r="XBN41" s="239"/>
      <c r="XBO41" s="240"/>
      <c r="XBP41" s="239"/>
      <c r="XBQ41" s="240"/>
      <c r="XBR41" s="239"/>
      <c r="XBS41" s="240"/>
      <c r="XBT41" s="239"/>
      <c r="XBU41" s="240"/>
      <c r="XBV41" s="239"/>
      <c r="XBW41" s="240"/>
      <c r="XBX41" s="239"/>
      <c r="XBY41" s="240"/>
      <c r="XBZ41" s="239"/>
      <c r="XCA41" s="240"/>
      <c r="XCB41" s="239"/>
      <c r="XCC41" s="240"/>
      <c r="XCD41" s="239"/>
      <c r="XCE41" s="240"/>
      <c r="XCF41" s="239"/>
      <c r="XCG41" s="240"/>
      <c r="XCH41" s="239"/>
      <c r="XCI41" s="240"/>
      <c r="XCJ41" s="239"/>
      <c r="XCK41" s="240"/>
      <c r="XCL41" s="239"/>
      <c r="XCM41" s="240"/>
      <c r="XCN41" s="239"/>
      <c r="XCO41" s="240"/>
      <c r="XCP41" s="239"/>
      <c r="XCQ41" s="240"/>
      <c r="XCR41" s="239"/>
      <c r="XCS41" s="240"/>
      <c r="XCT41" s="239"/>
      <c r="XCU41" s="240"/>
      <c r="XCV41" s="239"/>
      <c r="XCW41" s="240"/>
      <c r="XCX41" s="239"/>
      <c r="XCY41" s="240"/>
      <c r="XCZ41" s="239"/>
      <c r="XDA41" s="240"/>
      <c r="XDB41" s="239"/>
      <c r="XDC41" s="240"/>
      <c r="XDD41" s="239"/>
      <c r="XDE41" s="240"/>
      <c r="XDF41" s="239"/>
      <c r="XDG41" s="240"/>
      <c r="XDH41" s="239"/>
      <c r="XDI41" s="240"/>
      <c r="XDJ41" s="239"/>
      <c r="XDK41" s="240"/>
      <c r="XDL41" s="239"/>
      <c r="XDM41" s="240"/>
      <c r="XDN41" s="239"/>
      <c r="XDO41" s="240"/>
      <c r="XDP41" s="239"/>
      <c r="XDQ41" s="240"/>
      <c r="XDR41" s="239"/>
      <c r="XDS41" s="240"/>
      <c r="XDT41" s="239"/>
      <c r="XDU41" s="240"/>
      <c r="XDV41" s="239"/>
      <c r="XDW41" s="240"/>
      <c r="XDX41" s="239"/>
      <c r="XDY41" s="240"/>
      <c r="XDZ41" s="239"/>
      <c r="XEA41" s="240"/>
      <c r="XEB41" s="239"/>
      <c r="XEC41" s="240"/>
      <c r="XED41" s="239"/>
      <c r="XEE41" s="240"/>
      <c r="XEF41" s="239"/>
      <c r="XEG41" s="240"/>
      <c r="XEH41" s="239"/>
      <c r="XEI41" s="240"/>
      <c r="XEJ41" s="239"/>
      <c r="XEK41" s="240"/>
      <c r="XEL41" s="239"/>
      <c r="XEM41" s="240"/>
      <c r="XEN41" s="239"/>
      <c r="XEO41" s="240"/>
      <c r="XEP41" s="239"/>
      <c r="XEQ41" s="240"/>
      <c r="XER41" s="239"/>
      <c r="XES41" s="240"/>
      <c r="XET41" s="239"/>
      <c r="XEU41" s="240"/>
      <c r="XEV41" s="239"/>
      <c r="XEW41" s="240"/>
      <c r="XEX41" s="239"/>
      <c r="XEY41" s="240"/>
      <c r="XEZ41" s="239"/>
      <c r="XFA41" s="240"/>
      <c r="XFB41" s="239"/>
      <c r="XFC41" s="240"/>
      <c r="XFD41" s="239"/>
    </row>
    <row r="42" hidden="1" spans="1:19">
      <c r="A42" s="208"/>
      <c r="B42" s="209"/>
      <c r="C42" s="210" t="s">
        <v>13</v>
      </c>
      <c r="D42" s="211">
        <f t="shared" si="1"/>
        <v>19348.8260036935</v>
      </c>
      <c r="E42" s="211">
        <f t="shared" ref="E42:F44" si="35">E6-E22</f>
        <v>86.3720646045917</v>
      </c>
      <c r="F42" s="211">
        <f t="shared" si="35"/>
        <v>250.739901942077</v>
      </c>
      <c r="G42" s="211">
        <f t="shared" ref="G42:S43" si="36">G6-G22</f>
        <v>406.731447407865</v>
      </c>
      <c r="H42" s="211">
        <f t="shared" si="36"/>
        <v>537.594117258557</v>
      </c>
      <c r="I42" s="211">
        <f t="shared" si="36"/>
        <v>643.327911494156</v>
      </c>
      <c r="J42" s="211">
        <f>J6-J22</f>
        <v>-3067.25629623031</v>
      </c>
      <c r="K42" s="211">
        <f t="shared" si="36"/>
        <v>-2141.78902912551</v>
      </c>
      <c r="L42" s="211">
        <f t="shared" si="36"/>
        <v>-1157.87928633738</v>
      </c>
      <c r="M42" s="211">
        <f t="shared" si="36"/>
        <v>-135.858117424148</v>
      </c>
      <c r="N42" s="211">
        <f t="shared" si="36"/>
        <v>935.166508934213</v>
      </c>
      <c r="O42" s="211">
        <f t="shared" si="36"/>
        <v>2061.47446999309</v>
      </c>
      <c r="P42" s="211">
        <f t="shared" si="36"/>
        <v>3241.48198956086</v>
      </c>
      <c r="Q42" s="211">
        <f t="shared" si="36"/>
        <v>4821.31392088868</v>
      </c>
      <c r="R42" s="211">
        <f t="shared" si="36"/>
        <v>5875.10721804645</v>
      </c>
      <c r="S42" s="211">
        <f t="shared" si="36"/>
        <v>6992.29918268034</v>
      </c>
    </row>
    <row r="43" hidden="1" spans="1:19">
      <c r="A43" s="192"/>
      <c r="B43" s="193"/>
      <c r="C43" s="196" t="s">
        <v>14</v>
      </c>
      <c r="D43" s="197">
        <f t="shared" si="1"/>
        <v>8549.85225145338</v>
      </c>
      <c r="E43" s="197">
        <f t="shared" si="35"/>
        <v>75.9993943955637</v>
      </c>
      <c r="F43" s="197">
        <f t="shared" si="35"/>
        <v>216.345289050842</v>
      </c>
      <c r="G43" s="197">
        <f t="shared" ref="G43:H43" si="37">G7-G23</f>
        <v>345.038289570272</v>
      </c>
      <c r="H43" s="197">
        <f t="shared" si="37"/>
        <v>438.772607682155</v>
      </c>
      <c r="I43" s="197">
        <f t="shared" si="36"/>
        <v>438.772607682155</v>
      </c>
      <c r="J43" s="197">
        <f t="shared" ref="J43" si="38">J7-J23</f>
        <v>-2781.24603723488</v>
      </c>
      <c r="K43" s="197">
        <f t="shared" si="36"/>
        <v>-2080.83402674486</v>
      </c>
      <c r="L43" s="197">
        <f t="shared" ref="L43:S43" si="39">L7-L23</f>
        <v>-1340.79144774057</v>
      </c>
      <c r="M43" s="197">
        <f t="shared" si="39"/>
        <v>-567.379287519208</v>
      </c>
      <c r="N43" s="197">
        <f t="shared" si="39"/>
        <v>241.225891045578</v>
      </c>
      <c r="O43" s="197">
        <f t="shared" si="39"/>
        <v>1091.48893278479</v>
      </c>
      <c r="P43" s="197">
        <f t="shared" si="39"/>
        <v>1983.02080625625</v>
      </c>
      <c r="Q43" s="197">
        <f t="shared" si="39"/>
        <v>2683.30462088069</v>
      </c>
      <c r="R43" s="197">
        <f t="shared" si="39"/>
        <v>3479.53689202443</v>
      </c>
      <c r="S43" s="197">
        <f t="shared" si="39"/>
        <v>4326.59771932018</v>
      </c>
    </row>
    <row r="44" hidden="1" spans="1:19">
      <c r="A44" s="192"/>
      <c r="B44" s="193"/>
      <c r="C44" s="196" t="s">
        <v>15</v>
      </c>
      <c r="D44" s="197">
        <f t="shared" si="1"/>
        <v>28408.8933920585</v>
      </c>
      <c r="E44" s="197">
        <f t="shared" si="35"/>
        <v>198.760323183985</v>
      </c>
      <c r="F44" s="197">
        <f t="shared" si="35"/>
        <v>568.394986344409</v>
      </c>
      <c r="G44" s="197">
        <f t="shared" ref="G44:S44" si="40">G8-G24</f>
        <v>910.143666297285</v>
      </c>
      <c r="H44" s="197">
        <f t="shared" si="40"/>
        <v>1168.23439662752</v>
      </c>
      <c r="I44" s="197">
        <f t="shared" si="40"/>
        <v>1342.66717733511</v>
      </c>
      <c r="J44" s="197">
        <f t="shared" si="40"/>
        <v>-7177.97549202865</v>
      </c>
      <c r="K44" s="197">
        <f t="shared" si="40"/>
        <v>-5278.36124344786</v>
      </c>
      <c r="L44" s="197">
        <f t="shared" si="40"/>
        <v>-3261.06381505367</v>
      </c>
      <c r="M44" s="197">
        <f t="shared" si="40"/>
        <v>-1159.67606942433</v>
      </c>
      <c r="N44" s="197">
        <f t="shared" si="40"/>
        <v>1036.0488493946</v>
      </c>
      <c r="O44" s="197">
        <f t="shared" si="40"/>
        <v>3345.04428280788</v>
      </c>
      <c r="P44" s="197">
        <f t="shared" si="40"/>
        <v>5767.5856303247</v>
      </c>
      <c r="Q44" s="197">
        <f t="shared" si="40"/>
        <v>8104.28302766295</v>
      </c>
      <c r="R44" s="197">
        <f t="shared" si="40"/>
        <v>10269.9278637973</v>
      </c>
      <c r="S44" s="197">
        <f t="shared" si="40"/>
        <v>12574.8798082373</v>
      </c>
    </row>
    <row r="45" hidden="1" spans="1:19">
      <c r="A45" s="192">
        <v>4</v>
      </c>
      <c r="B45" s="214" t="s">
        <v>348</v>
      </c>
      <c r="C45" s="641" t="s">
        <v>4</v>
      </c>
      <c r="D45" s="195">
        <f t="shared" si="1"/>
        <v>0</v>
      </c>
      <c r="E45" s="197"/>
      <c r="F45" s="197"/>
      <c r="G45" s="197"/>
      <c r="H45" s="197"/>
      <c r="I45" s="197"/>
      <c r="J45" s="197"/>
      <c r="K45" s="197"/>
      <c r="L45" s="197"/>
      <c r="M45" s="197"/>
      <c r="N45" s="197"/>
      <c r="O45" s="197"/>
      <c r="P45" s="197"/>
      <c r="Q45" s="197"/>
      <c r="R45" s="197"/>
      <c r="S45" s="197"/>
    </row>
    <row r="46" hidden="1" spans="1:19">
      <c r="A46" s="192"/>
      <c r="B46" s="214"/>
      <c r="C46" s="196" t="s">
        <v>13</v>
      </c>
      <c r="D46" s="197">
        <f t="shared" si="1"/>
        <v>0</v>
      </c>
      <c r="E46" s="197"/>
      <c r="F46" s="197"/>
      <c r="G46" s="197"/>
      <c r="H46" s="197"/>
      <c r="I46" s="197"/>
      <c r="J46" s="197"/>
      <c r="K46" s="197"/>
      <c r="L46" s="197"/>
      <c r="M46" s="197"/>
      <c r="N46" s="197"/>
      <c r="O46" s="197"/>
      <c r="P46" s="197"/>
      <c r="Q46" s="197"/>
      <c r="R46" s="197"/>
      <c r="S46" s="197"/>
    </row>
    <row r="47" hidden="1" spans="1:19">
      <c r="A47" s="192"/>
      <c r="B47" s="214"/>
      <c r="C47" s="196" t="s">
        <v>14</v>
      </c>
      <c r="D47" s="197">
        <f t="shared" si="1"/>
        <v>0</v>
      </c>
      <c r="E47" s="197"/>
      <c r="F47" s="197"/>
      <c r="G47" s="197"/>
      <c r="H47" s="197"/>
      <c r="I47" s="197"/>
      <c r="J47" s="197"/>
      <c r="K47" s="197"/>
      <c r="L47" s="197"/>
      <c r="M47" s="197"/>
      <c r="N47" s="197"/>
      <c r="O47" s="197"/>
      <c r="P47" s="197"/>
      <c r="Q47" s="197"/>
      <c r="R47" s="197"/>
      <c r="S47" s="197"/>
    </row>
    <row r="48" hidden="1" spans="1:19">
      <c r="A48" s="192"/>
      <c r="B48" s="214"/>
      <c r="C48" s="196" t="s">
        <v>15</v>
      </c>
      <c r="D48" s="197">
        <f t="shared" si="1"/>
        <v>0</v>
      </c>
      <c r="E48" s="197"/>
      <c r="F48" s="197"/>
      <c r="G48" s="197"/>
      <c r="H48" s="197"/>
      <c r="I48" s="197"/>
      <c r="J48" s="197"/>
      <c r="K48" s="197"/>
      <c r="L48" s="197"/>
      <c r="M48" s="197"/>
      <c r="N48" s="197"/>
      <c r="O48" s="197"/>
      <c r="P48" s="197"/>
      <c r="Q48" s="197"/>
      <c r="R48" s="197"/>
      <c r="S48" s="197"/>
    </row>
    <row r="49" s="177" customFormat="1" ht="13.5" customHeight="1" spans="1:26">
      <c r="A49" s="192">
        <v>5</v>
      </c>
      <c r="B49" s="193" t="s">
        <v>349</v>
      </c>
      <c r="C49" s="194" t="s">
        <v>4</v>
      </c>
      <c r="D49" s="195">
        <f t="shared" si="1"/>
        <v>77551.1212251865</v>
      </c>
      <c r="E49" s="195"/>
      <c r="F49" s="195"/>
      <c r="G49" s="195"/>
      <c r="H49" s="195">
        <f>SUM(H50:H52)</f>
        <v>0</v>
      </c>
      <c r="I49" s="195">
        <f>SUM(I50:I52)</f>
        <v>0</v>
      </c>
      <c r="J49" s="195">
        <f>(J5-J21+J25)*25%</f>
        <v>7797.60736670787</v>
      </c>
      <c r="K49" s="195">
        <f t="shared" ref="K49:S49" si="41">(K5-K21+K25)*25%</f>
        <v>7796.00873892055</v>
      </c>
      <c r="L49" s="195">
        <f t="shared" si="41"/>
        <v>7805.08353867877</v>
      </c>
      <c r="M49" s="195">
        <f t="shared" si="41"/>
        <v>7807.66552532969</v>
      </c>
      <c r="N49" s="195">
        <f t="shared" si="41"/>
        <v>7807.27138340517</v>
      </c>
      <c r="O49" s="195">
        <f t="shared" si="41"/>
        <v>7809.48776127782</v>
      </c>
      <c r="P49" s="195">
        <f t="shared" si="41"/>
        <v>7811.44312890883</v>
      </c>
      <c r="Q49" s="195">
        <f t="shared" si="41"/>
        <v>7794.65473783618</v>
      </c>
      <c r="R49" s="195">
        <f t="shared" si="41"/>
        <v>7560.4280599657</v>
      </c>
      <c r="S49" s="195">
        <f t="shared" si="41"/>
        <v>7561.47098415593</v>
      </c>
      <c r="T49" s="236"/>
      <c r="U49" s="236"/>
      <c r="V49" s="236"/>
      <c r="W49" s="236"/>
      <c r="X49" s="236"/>
      <c r="Y49" s="236"/>
      <c r="Z49" s="236"/>
    </row>
    <row r="50" hidden="1" spans="1:19">
      <c r="A50" s="192"/>
      <c r="B50" s="193"/>
      <c r="C50" s="196" t="s">
        <v>13</v>
      </c>
      <c r="D50" s="197">
        <f t="shared" si="1"/>
        <v>21450.921790791</v>
      </c>
      <c r="E50" s="197"/>
      <c r="F50" s="197"/>
      <c r="G50" s="197"/>
      <c r="H50" s="195">
        <v>0</v>
      </c>
      <c r="I50" s="195">
        <v>0</v>
      </c>
      <c r="J50" s="195">
        <f>(J6-J22+J26)*25%</f>
        <v>2133.99762849223</v>
      </c>
      <c r="K50" s="195">
        <f t="shared" ref="J50:S51" si="42">(K6-K22+K26)*25%</f>
        <v>2133.65800585073</v>
      </c>
      <c r="L50" s="195">
        <f t="shared" si="42"/>
        <v>2136.57538659858</v>
      </c>
      <c r="M50" s="195">
        <f t="shared" si="42"/>
        <v>2137.11068118521</v>
      </c>
      <c r="N50" s="195">
        <f t="shared" si="42"/>
        <v>2137.40331024867</v>
      </c>
      <c r="O50" s="195">
        <f t="shared" si="42"/>
        <v>2138.41106013848</v>
      </c>
      <c r="P50" s="195">
        <f t="shared" si="42"/>
        <v>2139.09580687714</v>
      </c>
      <c r="Q50" s="195">
        <f t="shared" si="42"/>
        <v>2225.31511703131</v>
      </c>
      <c r="R50" s="195">
        <f t="shared" si="42"/>
        <v>2164.89657368175</v>
      </c>
      <c r="S50" s="195">
        <f t="shared" si="42"/>
        <v>2104.45822068691</v>
      </c>
    </row>
    <row r="51" hidden="1" spans="1:19">
      <c r="A51" s="192"/>
      <c r="B51" s="193"/>
      <c r="C51" s="196" t="s">
        <v>14</v>
      </c>
      <c r="D51" s="197">
        <f t="shared" si="1"/>
        <v>14697.527263962</v>
      </c>
      <c r="E51" s="197"/>
      <c r="F51" s="197"/>
      <c r="G51" s="197"/>
      <c r="H51" s="195">
        <v>0</v>
      </c>
      <c r="I51" s="195">
        <v>0</v>
      </c>
      <c r="J51" s="195">
        <f t="shared" si="42"/>
        <v>1500.25541251902</v>
      </c>
      <c r="K51" s="195">
        <f t="shared" si="42"/>
        <v>1499.98440051216</v>
      </c>
      <c r="L51" s="195">
        <f t="shared" si="42"/>
        <v>1501.02770391703</v>
      </c>
      <c r="M51" s="195">
        <f t="shared" si="42"/>
        <v>1501.3990029002</v>
      </c>
      <c r="N51" s="195">
        <f t="shared" si="42"/>
        <v>1501.11245115669</v>
      </c>
      <c r="O51" s="195">
        <f t="shared" si="42"/>
        <v>1501.32091073394</v>
      </c>
      <c r="P51" s="195">
        <f t="shared" si="42"/>
        <v>1501.44107050223</v>
      </c>
      <c r="Q51" s="195">
        <f t="shared" si="42"/>
        <v>1442.83383793739</v>
      </c>
      <c r="R51" s="195">
        <f t="shared" si="42"/>
        <v>1396.76348837754</v>
      </c>
      <c r="S51" s="195">
        <f t="shared" si="42"/>
        <v>1351.38898540576</v>
      </c>
    </row>
    <row r="52" hidden="1" spans="1:19">
      <c r="A52" s="192"/>
      <c r="B52" s="193"/>
      <c r="C52" s="196" t="s">
        <v>15</v>
      </c>
      <c r="D52" s="197">
        <f t="shared" si="1"/>
        <v>41165.6420167401</v>
      </c>
      <c r="E52" s="197"/>
      <c r="F52" s="197"/>
      <c r="G52" s="197"/>
      <c r="H52" s="195">
        <v>0</v>
      </c>
      <c r="I52" s="195">
        <v>0</v>
      </c>
      <c r="J52" s="195">
        <f t="shared" ref="J52:S52" si="43">(J8-J24+J28)*25%</f>
        <v>4163.35432569661</v>
      </c>
      <c r="K52" s="195">
        <f t="shared" si="43"/>
        <v>4162.36633255767</v>
      </c>
      <c r="L52" s="195">
        <f t="shared" si="43"/>
        <v>4167.48044816316</v>
      </c>
      <c r="M52" s="195">
        <f t="shared" si="43"/>
        <v>4169.15584124427</v>
      </c>
      <c r="N52" s="195">
        <f t="shared" si="43"/>
        <v>4168.7556219998</v>
      </c>
      <c r="O52" s="195">
        <f t="shared" si="43"/>
        <v>4169.7557904054</v>
      </c>
      <c r="P52" s="195">
        <f t="shared" si="43"/>
        <v>4170.90625152945</v>
      </c>
      <c r="Q52" s="195">
        <f t="shared" si="43"/>
        <v>4120.97596619686</v>
      </c>
      <c r="R52" s="195">
        <f t="shared" si="43"/>
        <v>3997.2114134646</v>
      </c>
      <c r="S52" s="195">
        <f t="shared" si="43"/>
        <v>3875.68002548222</v>
      </c>
    </row>
    <row r="53" s="177" customFormat="1" spans="1:26">
      <c r="A53" s="192">
        <v>6</v>
      </c>
      <c r="B53" s="193" t="s">
        <v>350</v>
      </c>
      <c r="C53" s="194" t="s">
        <v>4</v>
      </c>
      <c r="D53" s="195">
        <f t="shared" si="1"/>
        <v>18618.64078679</v>
      </c>
      <c r="E53" s="195">
        <v>0</v>
      </c>
      <c r="F53" s="195">
        <v>0</v>
      </c>
      <c r="G53" s="195">
        <v>0</v>
      </c>
      <c r="H53" s="195">
        <f>SUM(H54:H56)</f>
        <v>0</v>
      </c>
      <c r="I53" s="195">
        <f t="shared" ref="I53:S53" si="44">SUM(I54:I56)</f>
        <v>0</v>
      </c>
      <c r="J53" s="195">
        <f t="shared" si="44"/>
        <v>0</v>
      </c>
      <c r="K53" s="195">
        <f t="shared" si="44"/>
        <v>0</v>
      </c>
      <c r="L53" s="195">
        <f t="shared" si="44"/>
        <v>0</v>
      </c>
      <c r="M53" s="195">
        <v>0</v>
      </c>
      <c r="N53" s="195">
        <f t="shared" si="44"/>
        <v>276.555156171799</v>
      </c>
      <c r="O53" s="195">
        <f t="shared" si="44"/>
        <v>812.25096069822</v>
      </c>
      <c r="P53" s="195">
        <f t="shared" si="44"/>
        <v>2748.02210653545</v>
      </c>
      <c r="Q53" s="195">
        <f t="shared" si="44"/>
        <v>3902.22539235808</v>
      </c>
      <c r="R53" s="195">
        <f t="shared" si="44"/>
        <v>4906.14299346705</v>
      </c>
      <c r="S53" s="195">
        <f t="shared" si="44"/>
        <v>5973.44417755945</v>
      </c>
      <c r="T53" s="236"/>
      <c r="U53" s="236"/>
      <c r="V53" s="236"/>
      <c r="W53" s="236"/>
      <c r="X53" s="236"/>
      <c r="Y53" s="236"/>
      <c r="Z53" s="236"/>
    </row>
    <row r="54" hidden="1" spans="1:19">
      <c r="A54" s="192"/>
      <c r="B54" s="193"/>
      <c r="C54" s="196" t="s">
        <v>13</v>
      </c>
      <c r="D54" s="197">
        <f t="shared" si="1"/>
        <v>5607.13070016</v>
      </c>
      <c r="E54" s="197"/>
      <c r="F54" s="197"/>
      <c r="G54" s="197"/>
      <c r="H54" s="197"/>
      <c r="I54" s="197"/>
      <c r="J54" s="197">
        <v>0</v>
      </c>
      <c r="K54" s="197">
        <v>0</v>
      </c>
      <c r="L54" s="197">
        <v>0</v>
      </c>
      <c r="M54" s="197">
        <v>0</v>
      </c>
      <c r="N54" s="197">
        <f>N42*25%*0.5</f>
        <v>116.895813616777</v>
      </c>
      <c r="O54" s="197">
        <f>O42*25%*0.5</f>
        <v>257.684308749136</v>
      </c>
      <c r="P54" s="197">
        <f t="shared" ref="P54:S54" si="45">P42*25%</f>
        <v>810.370497390215</v>
      </c>
      <c r="Q54" s="197">
        <f t="shared" si="45"/>
        <v>1205.32848022217</v>
      </c>
      <c r="R54" s="197">
        <f t="shared" si="45"/>
        <v>1468.77680451161</v>
      </c>
      <c r="S54" s="197">
        <f t="shared" si="45"/>
        <v>1748.07479567009</v>
      </c>
    </row>
    <row r="55" hidden="1" spans="1:19">
      <c r="A55" s="192"/>
      <c r="B55" s="193"/>
      <c r="C55" s="196" t="s">
        <v>14</v>
      </c>
      <c r="D55" s="197">
        <f t="shared" si="1"/>
        <v>3284.70436259918</v>
      </c>
      <c r="E55" s="197"/>
      <c r="F55" s="197"/>
      <c r="G55" s="197"/>
      <c r="H55" s="197">
        <v>0</v>
      </c>
      <c r="I55" s="197">
        <v>0</v>
      </c>
      <c r="J55" s="197">
        <v>0</v>
      </c>
      <c r="K55" s="197">
        <v>0</v>
      </c>
      <c r="L55" s="197">
        <v>0</v>
      </c>
      <c r="M55" s="197">
        <v>0</v>
      </c>
      <c r="N55" s="197">
        <f t="shared" ref="N55:O55" si="46">N43*25%*0.5</f>
        <v>30.1532363806973</v>
      </c>
      <c r="O55" s="197">
        <f t="shared" si="46"/>
        <v>136.436116598099</v>
      </c>
      <c r="P55" s="197">
        <f t="shared" ref="P55:S56" si="47">P43*25%</f>
        <v>495.755201564061</v>
      </c>
      <c r="Q55" s="197">
        <f t="shared" si="47"/>
        <v>670.826155220173</v>
      </c>
      <c r="R55" s="197">
        <f t="shared" si="47"/>
        <v>869.884223006106</v>
      </c>
      <c r="S55" s="197">
        <f t="shared" si="47"/>
        <v>1081.64942983004</v>
      </c>
    </row>
    <row r="56" hidden="1" spans="1:19">
      <c r="A56" s="192"/>
      <c r="B56" s="193"/>
      <c r="C56" s="196" t="s">
        <v>15</v>
      </c>
      <c r="D56" s="197">
        <f t="shared" si="1"/>
        <v>9726.80572403087</v>
      </c>
      <c r="E56" s="197"/>
      <c r="F56" s="197"/>
      <c r="G56" s="197"/>
      <c r="H56" s="197"/>
      <c r="I56" s="197"/>
      <c r="J56" s="197">
        <v>0</v>
      </c>
      <c r="K56" s="197">
        <v>0</v>
      </c>
      <c r="L56" s="197">
        <v>0</v>
      </c>
      <c r="M56" s="197">
        <v>0</v>
      </c>
      <c r="N56" s="197">
        <f t="shared" ref="N56:O56" si="48">N44*25%*0.5</f>
        <v>129.506106174325</v>
      </c>
      <c r="O56" s="197">
        <f t="shared" si="48"/>
        <v>418.130535350985</v>
      </c>
      <c r="P56" s="197">
        <f t="shared" si="47"/>
        <v>1441.89640758117</v>
      </c>
      <c r="Q56" s="197">
        <f t="shared" si="47"/>
        <v>2026.07075691574</v>
      </c>
      <c r="R56" s="197">
        <f t="shared" si="47"/>
        <v>2567.48196594933</v>
      </c>
      <c r="S56" s="197">
        <f t="shared" si="47"/>
        <v>3143.71995205932</v>
      </c>
    </row>
    <row r="57" s="177" customFormat="1" spans="1:26">
      <c r="A57" s="192">
        <v>7</v>
      </c>
      <c r="B57" s="216" t="s">
        <v>351</v>
      </c>
      <c r="C57" s="194" t="s">
        <v>4</v>
      </c>
      <c r="D57" s="195">
        <f t="shared" si="1"/>
        <v>37688.9308604154</v>
      </c>
      <c r="E57" s="195">
        <f t="shared" ref="E57:S57" si="49">SUM(E58:E60)</f>
        <v>361.131782184141</v>
      </c>
      <c r="F57" s="195">
        <f t="shared" si="49"/>
        <v>1035.48017733733</v>
      </c>
      <c r="G57" s="195">
        <f t="shared" si="49"/>
        <v>1661.91340327542</v>
      </c>
      <c r="H57" s="195">
        <f t="shared" si="49"/>
        <v>2144.60112156823</v>
      </c>
      <c r="I57" s="195">
        <f t="shared" si="49"/>
        <v>2424.76769651142</v>
      </c>
      <c r="J57" s="195">
        <f t="shared" si="49"/>
        <v>-13026.4778254938</v>
      </c>
      <c r="K57" s="195">
        <f t="shared" si="49"/>
        <v>-9500.98429931823</v>
      </c>
      <c r="L57" s="195">
        <f t="shared" si="49"/>
        <v>-5759.73454913162</v>
      </c>
      <c r="M57" s="195">
        <f t="shared" si="49"/>
        <v>-1862.91347436768</v>
      </c>
      <c r="N57" s="195">
        <f t="shared" si="49"/>
        <v>1935.8860932026</v>
      </c>
      <c r="O57" s="195">
        <f t="shared" si="49"/>
        <v>5685.75672488754</v>
      </c>
      <c r="P57" s="195">
        <f t="shared" si="49"/>
        <v>8244.06631960635</v>
      </c>
      <c r="Q57" s="195">
        <f t="shared" si="49"/>
        <v>11706.6761770742</v>
      </c>
      <c r="R57" s="195">
        <f t="shared" si="49"/>
        <v>14718.4289804011</v>
      </c>
      <c r="S57" s="195">
        <f t="shared" si="49"/>
        <v>17920.3325326784</v>
      </c>
      <c r="T57" s="236"/>
      <c r="U57" s="236"/>
      <c r="V57" s="236"/>
      <c r="W57" s="236"/>
      <c r="X57" s="236"/>
      <c r="Y57" s="236"/>
      <c r="Z57" s="236"/>
    </row>
    <row r="58" hidden="1" spans="1:19">
      <c r="A58" s="192"/>
      <c r="B58" s="217"/>
      <c r="C58" s="196" t="s">
        <v>13</v>
      </c>
      <c r="D58" s="197">
        <f t="shared" si="1"/>
        <v>13741.6953035335</v>
      </c>
      <c r="E58" s="195">
        <f t="shared" ref="E58:S58" si="50">E42-E54</f>
        <v>86.3720646045917</v>
      </c>
      <c r="F58" s="195">
        <f t="shared" si="50"/>
        <v>250.739901942077</v>
      </c>
      <c r="G58" s="195">
        <f t="shared" si="50"/>
        <v>406.731447407865</v>
      </c>
      <c r="H58" s="195">
        <f t="shared" si="50"/>
        <v>537.594117258557</v>
      </c>
      <c r="I58" s="195">
        <f t="shared" si="50"/>
        <v>643.327911494156</v>
      </c>
      <c r="J58" s="195">
        <f t="shared" si="50"/>
        <v>-3067.25629623031</v>
      </c>
      <c r="K58" s="195">
        <f t="shared" si="50"/>
        <v>-2141.78902912551</v>
      </c>
      <c r="L58" s="195">
        <f t="shared" si="50"/>
        <v>-1157.87928633738</v>
      </c>
      <c r="M58" s="195">
        <f t="shared" si="50"/>
        <v>-135.858117424148</v>
      </c>
      <c r="N58" s="195">
        <f t="shared" si="50"/>
        <v>818.270695317437</v>
      </c>
      <c r="O58" s="195">
        <f t="shared" si="50"/>
        <v>1803.79016124395</v>
      </c>
      <c r="P58" s="195">
        <f t="shared" si="50"/>
        <v>2431.11149217064</v>
      </c>
      <c r="Q58" s="195">
        <f t="shared" si="50"/>
        <v>3615.98544066651</v>
      </c>
      <c r="R58" s="195">
        <f t="shared" si="50"/>
        <v>4406.33041353484</v>
      </c>
      <c r="S58" s="195">
        <f t="shared" si="50"/>
        <v>5244.22438701026</v>
      </c>
    </row>
    <row r="59" hidden="1" spans="1:19">
      <c r="A59" s="192"/>
      <c r="B59" s="217"/>
      <c r="C59" s="196" t="s">
        <v>14</v>
      </c>
      <c r="D59" s="197">
        <f t="shared" ref="D59:D60" si="51">SUM(E59:S59)</f>
        <v>5265.1478888542</v>
      </c>
      <c r="E59" s="195">
        <f t="shared" ref="E59:S59" si="52">E43-E55</f>
        <v>75.9993943955637</v>
      </c>
      <c r="F59" s="195">
        <f t="shared" si="52"/>
        <v>216.345289050842</v>
      </c>
      <c r="G59" s="195">
        <f t="shared" si="52"/>
        <v>345.038289570272</v>
      </c>
      <c r="H59" s="195">
        <f t="shared" si="52"/>
        <v>438.772607682155</v>
      </c>
      <c r="I59" s="195">
        <f t="shared" si="52"/>
        <v>438.772607682155</v>
      </c>
      <c r="J59" s="195">
        <f t="shared" si="52"/>
        <v>-2781.24603723488</v>
      </c>
      <c r="K59" s="195">
        <f t="shared" si="52"/>
        <v>-2080.83402674486</v>
      </c>
      <c r="L59" s="195">
        <f t="shared" si="52"/>
        <v>-1340.79144774057</v>
      </c>
      <c r="M59" s="195">
        <f t="shared" si="52"/>
        <v>-567.379287519208</v>
      </c>
      <c r="N59" s="195">
        <f t="shared" si="52"/>
        <v>211.072654664881</v>
      </c>
      <c r="O59" s="195">
        <f t="shared" si="52"/>
        <v>955.05281618669</v>
      </c>
      <c r="P59" s="195">
        <f t="shared" si="52"/>
        <v>1487.26560469218</v>
      </c>
      <c r="Q59" s="195">
        <f t="shared" si="52"/>
        <v>2012.47846566052</v>
      </c>
      <c r="R59" s="195">
        <f t="shared" si="52"/>
        <v>2609.65266901832</v>
      </c>
      <c r="S59" s="195">
        <f t="shared" si="52"/>
        <v>3244.94828949013</v>
      </c>
    </row>
    <row r="60" hidden="1" spans="1:19">
      <c r="A60" s="192"/>
      <c r="B60" s="217"/>
      <c r="C60" s="196" t="s">
        <v>15</v>
      </c>
      <c r="D60" s="197">
        <f t="shared" si="51"/>
        <v>18682.0876680277</v>
      </c>
      <c r="E60" s="195">
        <f t="shared" ref="E60:S60" si="53">E44-E56</f>
        <v>198.760323183985</v>
      </c>
      <c r="F60" s="195">
        <f t="shared" si="53"/>
        <v>568.394986344409</v>
      </c>
      <c r="G60" s="195">
        <f t="shared" si="53"/>
        <v>910.143666297285</v>
      </c>
      <c r="H60" s="195">
        <f t="shared" si="53"/>
        <v>1168.23439662752</v>
      </c>
      <c r="I60" s="195">
        <f t="shared" si="53"/>
        <v>1342.66717733511</v>
      </c>
      <c r="J60" s="195">
        <f t="shared" si="53"/>
        <v>-7177.97549202865</v>
      </c>
      <c r="K60" s="195">
        <f t="shared" si="53"/>
        <v>-5278.36124344786</v>
      </c>
      <c r="L60" s="195">
        <f t="shared" si="53"/>
        <v>-3261.06381505367</v>
      </c>
      <c r="M60" s="195">
        <f t="shared" si="53"/>
        <v>-1159.67606942433</v>
      </c>
      <c r="N60" s="195">
        <f t="shared" si="53"/>
        <v>906.542743220278</v>
      </c>
      <c r="O60" s="195">
        <f t="shared" si="53"/>
        <v>2926.9137474569</v>
      </c>
      <c r="P60" s="195">
        <f t="shared" si="53"/>
        <v>4325.68922274352</v>
      </c>
      <c r="Q60" s="195">
        <f t="shared" si="53"/>
        <v>6078.21227074722</v>
      </c>
      <c r="R60" s="195">
        <f t="shared" si="53"/>
        <v>7702.44589784799</v>
      </c>
      <c r="S60" s="195">
        <f t="shared" si="53"/>
        <v>9431.15985617796</v>
      </c>
    </row>
    <row r="61" spans="1:19">
      <c r="A61" s="218"/>
      <c r="B61" s="219"/>
      <c r="C61" s="219"/>
      <c r="D61" s="220"/>
      <c r="E61" s="220"/>
      <c r="F61" s="221"/>
      <c r="G61" s="221"/>
      <c r="H61" s="222"/>
      <c r="I61" s="222"/>
      <c r="J61" s="222"/>
      <c r="K61" s="222"/>
      <c r="L61" s="222"/>
      <c r="M61" s="222"/>
      <c r="N61" s="222"/>
      <c r="O61" s="232"/>
      <c r="P61" s="232"/>
      <c r="Q61" s="232"/>
      <c r="R61" s="232"/>
      <c r="S61" s="232"/>
    </row>
    <row r="62" spans="1:19">
      <c r="A62" s="223"/>
      <c r="B62" s="224"/>
      <c r="C62" s="224"/>
      <c r="D62" s="221"/>
      <c r="E62" s="221"/>
      <c r="F62" s="221"/>
      <c r="G62" s="225"/>
      <c r="H62" s="225"/>
      <c r="I62" s="225"/>
      <c r="J62" s="233"/>
      <c r="K62" s="234"/>
      <c r="L62" s="235"/>
      <c r="M62" s="221"/>
      <c r="N62" s="221"/>
      <c r="P62" s="232"/>
      <c r="Q62" s="232"/>
      <c r="R62" s="232"/>
      <c r="S62" s="232"/>
    </row>
    <row r="64" ht="9" customHeight="1"/>
    <row r="65" ht="23.25" customHeight="1" spans="1:19">
      <c r="A65" s="241" t="s">
        <v>352</v>
      </c>
      <c r="B65" s="242"/>
      <c r="C65" s="242"/>
      <c r="D65" s="242"/>
      <c r="E65" s="242"/>
      <c r="F65" s="242"/>
      <c r="G65" s="242"/>
      <c r="H65" s="242"/>
      <c r="I65" s="242"/>
      <c r="J65" s="242"/>
      <c r="K65" s="242"/>
      <c r="L65" s="242"/>
      <c r="M65" s="242"/>
      <c r="N65" s="242"/>
      <c r="O65" s="242"/>
      <c r="P65" s="242"/>
      <c r="Q65" s="242"/>
      <c r="R65" s="242"/>
      <c r="S65" s="242"/>
    </row>
    <row r="66" spans="1:19">
      <c r="A66" s="184" t="s">
        <v>1</v>
      </c>
      <c r="B66" s="185" t="s">
        <v>2</v>
      </c>
      <c r="C66" s="186"/>
      <c r="D66" s="187" t="s">
        <v>4</v>
      </c>
      <c r="E66" s="187" t="s">
        <v>5</v>
      </c>
      <c r="F66" s="188"/>
      <c r="G66" s="188"/>
      <c r="H66" s="188"/>
      <c r="I66" s="188"/>
      <c r="J66" s="187" t="s">
        <v>43</v>
      </c>
      <c r="K66" s="187"/>
      <c r="L66" s="187"/>
      <c r="M66" s="187"/>
      <c r="N66" s="187"/>
      <c r="O66" s="187"/>
      <c r="P66" s="187"/>
      <c r="Q66" s="187"/>
      <c r="R66" s="187"/>
      <c r="S66" s="187"/>
    </row>
    <row r="67" spans="1:19">
      <c r="A67" s="184"/>
      <c r="B67" s="185"/>
      <c r="C67" s="189"/>
      <c r="D67" s="187"/>
      <c r="E67" s="187" t="s">
        <v>6</v>
      </c>
      <c r="F67" s="187" t="s">
        <v>7</v>
      </c>
      <c r="G67" s="187" t="s">
        <v>8</v>
      </c>
      <c r="H67" s="187" t="s">
        <v>9</v>
      </c>
      <c r="I67" s="187" t="s">
        <v>10</v>
      </c>
      <c r="J67" s="187" t="s">
        <v>235</v>
      </c>
      <c r="K67" s="187" t="s">
        <v>236</v>
      </c>
      <c r="L67" s="187" t="s">
        <v>237</v>
      </c>
      <c r="M67" s="187" t="s">
        <v>238</v>
      </c>
      <c r="N67" s="187" t="s">
        <v>239</v>
      </c>
      <c r="O67" s="187" t="s">
        <v>240</v>
      </c>
      <c r="P67" s="187" t="s">
        <v>241</v>
      </c>
      <c r="Q67" s="187" t="s">
        <v>242</v>
      </c>
      <c r="R67" s="187" t="s">
        <v>243</v>
      </c>
      <c r="S67" s="187" t="s">
        <v>244</v>
      </c>
    </row>
    <row r="68" s="176" customFormat="1" spans="1:19">
      <c r="A68" s="184"/>
      <c r="B68" s="185"/>
      <c r="C68" s="190"/>
      <c r="D68" s="187"/>
      <c r="E68" s="191">
        <v>1</v>
      </c>
      <c r="F68" s="191">
        <v>2</v>
      </c>
      <c r="G68" s="191">
        <v>3</v>
      </c>
      <c r="H68" s="191">
        <v>4</v>
      </c>
      <c r="I68" s="191">
        <v>5</v>
      </c>
      <c r="J68" s="191">
        <v>1</v>
      </c>
      <c r="K68" s="191">
        <v>2</v>
      </c>
      <c r="L68" s="191">
        <v>3</v>
      </c>
      <c r="M68" s="191">
        <v>4</v>
      </c>
      <c r="N68" s="191">
        <v>5</v>
      </c>
      <c r="O68" s="191">
        <v>6</v>
      </c>
      <c r="P68" s="191">
        <v>7</v>
      </c>
      <c r="Q68" s="191">
        <v>8</v>
      </c>
      <c r="R68" s="191">
        <v>9</v>
      </c>
      <c r="S68" s="191">
        <v>10</v>
      </c>
    </row>
    <row r="69" s="109" customFormat="1" ht="24.75" customHeight="1" spans="1:26">
      <c r="A69" s="117">
        <v>1</v>
      </c>
      <c r="B69" s="118" t="s">
        <v>353</v>
      </c>
      <c r="C69" s="123" t="s">
        <v>4</v>
      </c>
      <c r="D69" s="243">
        <f>SUM(E69:S69)</f>
        <v>17165.1869476758</v>
      </c>
      <c r="E69" s="243"/>
      <c r="F69" s="243"/>
      <c r="G69" s="243"/>
      <c r="H69" s="243"/>
      <c r="I69" s="243"/>
      <c r="J69" s="243"/>
      <c r="K69" s="243"/>
      <c r="L69" s="243"/>
      <c r="M69" s="243"/>
      <c r="N69" s="243"/>
      <c r="O69" s="243"/>
      <c r="P69" s="243"/>
      <c r="Q69" s="243">
        <f t="shared" ref="Q69" si="54">Q105</f>
        <v>559.613035755265</v>
      </c>
      <c r="R69" s="243">
        <f>R97</f>
        <v>8304.64932058565</v>
      </c>
      <c r="S69" s="243">
        <f>S97</f>
        <v>8300.92459133485</v>
      </c>
      <c r="T69" s="263"/>
      <c r="U69" s="263"/>
      <c r="V69" s="263"/>
      <c r="W69" s="263"/>
      <c r="X69" s="263"/>
      <c r="Y69" s="263"/>
      <c r="Z69" s="263"/>
    </row>
    <row r="70" s="109" customFormat="1" hidden="1" spans="1:26">
      <c r="A70" s="121"/>
      <c r="B70" s="122"/>
      <c r="C70" s="123" t="s">
        <v>13</v>
      </c>
      <c r="D70" s="243">
        <f t="shared" ref="D70:D85" si="55">SUM(E70:S70)</f>
        <v>-2812.46805374457</v>
      </c>
      <c r="E70" s="243"/>
      <c r="F70" s="243"/>
      <c r="G70" s="243"/>
      <c r="H70" s="243"/>
      <c r="I70" s="243"/>
      <c r="J70" s="243"/>
      <c r="K70" s="243"/>
      <c r="L70" s="243"/>
      <c r="M70" s="243"/>
      <c r="N70" s="243"/>
      <c r="O70" s="243"/>
      <c r="P70" s="243"/>
      <c r="Q70" s="243">
        <f t="shared" ref="Q70:S71" si="56">Q106</f>
        <v>-3135.24764196962</v>
      </c>
      <c r="R70" s="243">
        <f t="shared" si="56"/>
        <v>-937.48935124819</v>
      </c>
      <c r="S70" s="243">
        <f t="shared" si="56"/>
        <v>1260.26893947324</v>
      </c>
      <c r="T70" s="263"/>
      <c r="U70" s="263"/>
      <c r="V70" s="263"/>
      <c r="W70" s="263"/>
      <c r="X70" s="263"/>
      <c r="Y70" s="263"/>
      <c r="Z70" s="263"/>
    </row>
    <row r="71" s="109" customFormat="1" hidden="1" spans="1:26">
      <c r="A71" s="121"/>
      <c r="B71" s="122"/>
      <c r="C71" s="123" t="s">
        <v>14</v>
      </c>
      <c r="D71" s="243">
        <f t="shared" si="55"/>
        <v>11364.6476297361</v>
      </c>
      <c r="E71" s="243"/>
      <c r="F71" s="243"/>
      <c r="G71" s="243"/>
      <c r="H71" s="243"/>
      <c r="I71" s="243"/>
      <c r="J71" s="243"/>
      <c r="K71" s="243"/>
      <c r="L71" s="243"/>
      <c r="M71" s="243"/>
      <c r="N71" s="243"/>
      <c r="O71" s="243"/>
      <c r="P71" s="243"/>
      <c r="Q71" s="243">
        <f t="shared" si="56"/>
        <v>2131.17209326699</v>
      </c>
      <c r="R71" s="243">
        <f t="shared" si="56"/>
        <v>3788.45712014303</v>
      </c>
      <c r="S71" s="243">
        <f t="shared" si="56"/>
        <v>5445.01841632608</v>
      </c>
      <c r="T71" s="263"/>
      <c r="U71" s="263"/>
      <c r="V71" s="263"/>
      <c r="W71" s="263"/>
      <c r="X71" s="263"/>
      <c r="Y71" s="263"/>
      <c r="Z71" s="263"/>
    </row>
    <row r="72" s="109" customFormat="1" hidden="1" spans="1:26">
      <c r="A72" s="124"/>
      <c r="B72" s="125"/>
      <c r="C72" s="123" t="s">
        <v>15</v>
      </c>
      <c r="D72" s="243">
        <f t="shared" si="55"/>
        <v>18792.7572285077</v>
      </c>
      <c r="E72" s="243"/>
      <c r="F72" s="243"/>
      <c r="G72" s="243"/>
      <c r="H72" s="243"/>
      <c r="I72" s="243"/>
      <c r="J72" s="243"/>
      <c r="K72" s="243"/>
      <c r="L72" s="243"/>
      <c r="M72" s="243"/>
      <c r="N72" s="243"/>
      <c r="O72" s="243"/>
      <c r="P72" s="243"/>
      <c r="Q72" s="243">
        <f t="shared" ref="Q72:S72" si="57">Q108</f>
        <v>1815.646739367</v>
      </c>
      <c r="R72" s="243">
        <f t="shared" si="57"/>
        <v>6265.25274235518</v>
      </c>
      <c r="S72" s="243">
        <f t="shared" si="57"/>
        <v>10711.8577467856</v>
      </c>
      <c r="T72" s="263"/>
      <c r="U72" s="263"/>
      <c r="V72" s="263"/>
      <c r="W72" s="263"/>
      <c r="X72" s="263"/>
      <c r="Y72" s="263"/>
      <c r="Z72" s="263"/>
    </row>
    <row r="73" s="179" customFormat="1" ht="24" customHeight="1" spans="1:26">
      <c r="A73" s="130">
        <v>1.1</v>
      </c>
      <c r="B73" s="244" t="s">
        <v>354</v>
      </c>
      <c r="C73" s="119" t="s">
        <v>4</v>
      </c>
      <c r="D73" s="245">
        <f>SUM(D69:D72)</f>
        <v>44510.123752175</v>
      </c>
      <c r="E73" s="245">
        <f>E77+E81</f>
        <v>0</v>
      </c>
      <c r="F73" s="245">
        <f t="shared" ref="F73:S73" si="58">F77+F81</f>
        <v>0</v>
      </c>
      <c r="G73" s="245">
        <f t="shared" si="58"/>
        <v>0</v>
      </c>
      <c r="H73" s="245">
        <f t="shared" si="58"/>
        <v>0</v>
      </c>
      <c r="I73" s="245">
        <f t="shared" si="58"/>
        <v>0</v>
      </c>
      <c r="J73" s="245">
        <f t="shared" si="58"/>
        <v>8853.0718092964</v>
      </c>
      <c r="K73" s="245">
        <f t="shared" si="58"/>
        <v>8906.24158903997</v>
      </c>
      <c r="L73" s="245">
        <f t="shared" si="58"/>
        <v>9007.7976288713</v>
      </c>
      <c r="M73" s="245">
        <f t="shared" si="58"/>
        <v>9050.98883433256</v>
      </c>
      <c r="N73" s="245">
        <f t="shared" si="58"/>
        <v>9087.99643581255</v>
      </c>
      <c r="O73" s="245">
        <f t="shared" si="58"/>
        <v>9119.56998431761</v>
      </c>
      <c r="P73" s="245">
        <f t="shared" si="58"/>
        <v>9159.74121382849</v>
      </c>
      <c r="Q73" s="245">
        <f t="shared" si="58"/>
        <v>9159.74121382849</v>
      </c>
      <c r="R73" s="245">
        <f t="shared" si="58"/>
        <v>9170.02580791618</v>
      </c>
      <c r="S73" s="245">
        <f t="shared" si="58"/>
        <v>9182.3080371932</v>
      </c>
      <c r="T73" s="264"/>
      <c r="U73" s="264"/>
      <c r="V73" s="264"/>
      <c r="W73" s="264"/>
      <c r="X73" s="264"/>
      <c r="Y73" s="264"/>
      <c r="Z73" s="264"/>
    </row>
    <row r="74" s="172" customFormat="1" hidden="1" spans="1:26">
      <c r="A74" s="130"/>
      <c r="B74" s="244"/>
      <c r="C74" s="123" t="s">
        <v>13</v>
      </c>
      <c r="D74" s="246">
        <f t="shared" ref="D74:D76" si="59">SUM(D70:D73)</f>
        <v>71855.0605566743</v>
      </c>
      <c r="E74" s="246">
        <f t="shared" ref="E74:S76" si="60">E78+E82</f>
        <v>0</v>
      </c>
      <c r="F74" s="246">
        <f t="shared" si="60"/>
        <v>0</v>
      </c>
      <c r="G74" s="246">
        <f t="shared" si="60"/>
        <v>0</v>
      </c>
      <c r="H74" s="246">
        <f t="shared" si="60"/>
        <v>0</v>
      </c>
      <c r="I74" s="246">
        <f t="shared" si="60"/>
        <v>0</v>
      </c>
      <c r="J74" s="246">
        <f t="shared" si="60"/>
        <v>2314.11305102881</v>
      </c>
      <c r="K74" s="246">
        <f t="shared" si="60"/>
        <v>2325.49897180239</v>
      </c>
      <c r="L74" s="246">
        <f t="shared" si="60"/>
        <v>2351.22888149124</v>
      </c>
      <c r="M74" s="246">
        <f t="shared" si="60"/>
        <v>2360.38137497577</v>
      </c>
      <c r="N74" s="246">
        <f t="shared" si="60"/>
        <v>2368.48498134009</v>
      </c>
      <c r="O74" s="246">
        <f t="shared" si="60"/>
        <v>2378.73613061285</v>
      </c>
      <c r="P74" s="246">
        <f t="shared" si="60"/>
        <v>2386.83748823989</v>
      </c>
      <c r="Q74" s="246">
        <f t="shared" si="60"/>
        <v>2386.83748823989</v>
      </c>
      <c r="R74" s="246">
        <f t="shared" si="60"/>
        <v>2389.54048644421</v>
      </c>
      <c r="S74" s="246">
        <f t="shared" si="60"/>
        <v>2390.8868525861</v>
      </c>
      <c r="T74" s="265"/>
      <c r="U74" s="265"/>
      <c r="V74" s="265"/>
      <c r="W74" s="265"/>
      <c r="X74" s="265"/>
      <c r="Y74" s="265"/>
      <c r="Z74" s="265"/>
    </row>
    <row r="75" s="172" customFormat="1" hidden="1" spans="1:26">
      <c r="A75" s="130"/>
      <c r="B75" s="244"/>
      <c r="C75" s="123" t="s">
        <v>14</v>
      </c>
      <c r="D75" s="246">
        <f t="shared" si="59"/>
        <v>146522.589167093</v>
      </c>
      <c r="E75" s="246">
        <f t="shared" si="60"/>
        <v>0</v>
      </c>
      <c r="F75" s="246">
        <f t="shared" si="60"/>
        <v>0</v>
      </c>
      <c r="G75" s="246">
        <f t="shared" si="60"/>
        <v>0</v>
      </c>
      <c r="H75" s="246">
        <f t="shared" si="60"/>
        <v>0</v>
      </c>
      <c r="I75" s="246">
        <f t="shared" si="60"/>
        <v>0</v>
      </c>
      <c r="J75" s="246">
        <f t="shared" si="60"/>
        <v>1758.65590887873</v>
      </c>
      <c r="K75" s="246">
        <f t="shared" si="60"/>
        <v>1769.67694373636</v>
      </c>
      <c r="L75" s="246">
        <f t="shared" si="60"/>
        <v>1785.15947166992</v>
      </c>
      <c r="M75" s="246">
        <f t="shared" si="60"/>
        <v>1792.52130918932</v>
      </c>
      <c r="N75" s="246">
        <f t="shared" si="60"/>
        <v>1798.7499149549</v>
      </c>
      <c r="O75" s="246">
        <f t="shared" si="60"/>
        <v>1802.99847543747</v>
      </c>
      <c r="P75" s="246">
        <f t="shared" si="60"/>
        <v>1810.05791838705</v>
      </c>
      <c r="Q75" s="246">
        <f t="shared" si="60"/>
        <v>1810.05791838705</v>
      </c>
      <c r="R75" s="246">
        <f t="shared" si="60"/>
        <v>1812.03796367007</v>
      </c>
      <c r="S75" s="246">
        <f t="shared" si="60"/>
        <v>1814.591143952</v>
      </c>
      <c r="T75" s="265"/>
      <c r="U75" s="265"/>
      <c r="V75" s="265"/>
      <c r="W75" s="265"/>
      <c r="X75" s="265"/>
      <c r="Y75" s="265"/>
      <c r="Z75" s="265"/>
    </row>
    <row r="76" s="172" customFormat="1" hidden="1" spans="1:26">
      <c r="A76" s="130"/>
      <c r="B76" s="244"/>
      <c r="C76" s="123" t="s">
        <v>15</v>
      </c>
      <c r="D76" s="246">
        <f t="shared" si="59"/>
        <v>281680.53070445</v>
      </c>
      <c r="E76" s="246">
        <f t="shared" si="60"/>
        <v>0</v>
      </c>
      <c r="F76" s="246">
        <f t="shared" si="60"/>
        <v>0</v>
      </c>
      <c r="G76" s="246">
        <f t="shared" si="60"/>
        <v>0</v>
      </c>
      <c r="H76" s="246">
        <f t="shared" si="60"/>
        <v>0</v>
      </c>
      <c r="I76" s="246">
        <f t="shared" si="60"/>
        <v>0</v>
      </c>
      <c r="J76" s="246">
        <f t="shared" si="60"/>
        <v>4780.30284938887</v>
      </c>
      <c r="K76" s="246">
        <f t="shared" si="60"/>
        <v>4811.06567350122</v>
      </c>
      <c r="L76" s="246">
        <f t="shared" si="60"/>
        <v>4871.40927571014</v>
      </c>
      <c r="M76" s="246">
        <f t="shared" si="60"/>
        <v>4898.08615016747</v>
      </c>
      <c r="N76" s="246">
        <f t="shared" si="60"/>
        <v>4920.76153951756</v>
      </c>
      <c r="O76" s="246">
        <f t="shared" si="60"/>
        <v>4937.8353782673</v>
      </c>
      <c r="P76" s="246">
        <f t="shared" si="60"/>
        <v>4962.84580720155</v>
      </c>
      <c r="Q76" s="246">
        <f t="shared" si="60"/>
        <v>4962.84580720155</v>
      </c>
      <c r="R76" s="246">
        <f t="shared" si="60"/>
        <v>4968.44735780189</v>
      </c>
      <c r="S76" s="246">
        <f t="shared" si="60"/>
        <v>4976.8300406551</v>
      </c>
      <c r="T76" s="265"/>
      <c r="U76" s="265"/>
      <c r="V76" s="265"/>
      <c r="W76" s="265"/>
      <c r="X76" s="265"/>
      <c r="Y76" s="265"/>
      <c r="Z76" s="265"/>
    </row>
    <row r="77" s="109" customFormat="1" ht="34.5" customHeight="1" spans="1:26">
      <c r="A77" s="117" t="s">
        <v>18</v>
      </c>
      <c r="B77" s="118" t="s">
        <v>355</v>
      </c>
      <c r="C77" s="123"/>
      <c r="D77" s="247">
        <f t="shared" ref="D77:D84" si="61">SUM(E77:S77)</f>
        <v>88123.9447362549</v>
      </c>
      <c r="E77" s="247">
        <f>SUM(E78:E80)</f>
        <v>0</v>
      </c>
      <c r="F77" s="247">
        <f t="shared" ref="F77:S77" si="62">SUM(F78:F80)</f>
        <v>0</v>
      </c>
      <c r="G77" s="247">
        <f t="shared" si="62"/>
        <v>0</v>
      </c>
      <c r="H77" s="247">
        <f t="shared" si="62"/>
        <v>0</v>
      </c>
      <c r="I77" s="247">
        <f t="shared" si="62"/>
        <v>0</v>
      </c>
      <c r="J77" s="247">
        <f t="shared" si="62"/>
        <v>8700.35408566004</v>
      </c>
      <c r="K77" s="247">
        <f t="shared" si="62"/>
        <v>8736.57841085815</v>
      </c>
      <c r="L77" s="247">
        <f t="shared" si="62"/>
        <v>8798.52551250766</v>
      </c>
      <c r="M77" s="247">
        <f t="shared" si="62"/>
        <v>8824.77126342346</v>
      </c>
      <c r="N77" s="247">
        <f t="shared" si="62"/>
        <v>8822.16992672164</v>
      </c>
      <c r="O77" s="247">
        <f t="shared" si="62"/>
        <v>8836.79802068125</v>
      </c>
      <c r="P77" s="247">
        <f t="shared" si="62"/>
        <v>8854.30576655576</v>
      </c>
      <c r="Q77" s="247">
        <f t="shared" si="62"/>
        <v>8854.30576655576</v>
      </c>
      <c r="R77" s="247">
        <f t="shared" si="62"/>
        <v>8841.92687700708</v>
      </c>
      <c r="S77" s="247">
        <f t="shared" si="62"/>
        <v>8854.20910628411</v>
      </c>
      <c r="T77" s="263"/>
      <c r="U77" s="263"/>
      <c r="V77" s="263"/>
      <c r="W77" s="263"/>
      <c r="X77" s="263"/>
      <c r="Y77" s="263"/>
      <c r="Z77" s="263"/>
    </row>
    <row r="78" s="109" customFormat="1" hidden="1" spans="1:26">
      <c r="A78" s="121"/>
      <c r="B78" s="122"/>
      <c r="C78" s="123"/>
      <c r="D78" s="243">
        <f t="shared" si="61"/>
        <v>23217.9329794885</v>
      </c>
      <c r="E78" s="243"/>
      <c r="F78" s="243"/>
      <c r="G78" s="243"/>
      <c r="H78" s="243"/>
      <c r="I78" s="243"/>
      <c r="J78" s="243">
        <f>('建设期付息政府付费用估算表 '!J10)/(1+6%)*6%</f>
        <v>2288.39628739244</v>
      </c>
      <c r="K78" s="243">
        <f>('建设期付息政府付费用估算表 '!K10)/(1+6%)*6%</f>
        <v>2296.18220816603</v>
      </c>
      <c r="L78" s="243">
        <f>('建设期付息政府付费用估算表 '!L10)/(1+6%)*6%</f>
        <v>2315.73986330942</v>
      </c>
      <c r="M78" s="243">
        <f>('建设期付息政府付费用估算表 '!M10)/(1+6%)*6%</f>
        <v>2321.29235679395</v>
      </c>
      <c r="N78" s="243">
        <f>('建设期付息政府付费用估算表 '!N10)/(1+6%)*6%</f>
        <v>2323.22370861282</v>
      </c>
      <c r="O78" s="243">
        <f>('建设期付息政府付费用估算表 '!O10)/(1+6%)*6%</f>
        <v>2329.87485788557</v>
      </c>
      <c r="P78" s="243">
        <f>('建设期付息政府付费用估算表 '!P10)/(1+6%)*6%</f>
        <v>2335.40396096716</v>
      </c>
      <c r="Q78" s="243">
        <f>('建设期付息政府付费用估算表 '!Q10)/(1+6%)*6%</f>
        <v>2335.40396096716</v>
      </c>
      <c r="R78" s="243">
        <f>('建设期付息政府付费用估算表 '!R10)/(1+6%)*6%</f>
        <v>2335.53470462603</v>
      </c>
      <c r="S78" s="243">
        <f>('建设期付息政府付费用估算表 '!S10)/(1+6%)*6%</f>
        <v>2336.88107076791</v>
      </c>
      <c r="T78" s="263"/>
      <c r="U78" s="263"/>
      <c r="V78" s="263"/>
      <c r="W78" s="263"/>
      <c r="X78" s="263"/>
      <c r="Y78" s="263"/>
      <c r="Z78" s="263"/>
    </row>
    <row r="79" s="109" customFormat="1" hidden="1" spans="1:26">
      <c r="A79" s="121"/>
      <c r="B79" s="122"/>
      <c r="C79" s="123"/>
      <c r="D79" s="243">
        <f t="shared" si="61"/>
        <v>17447.9691500811</v>
      </c>
      <c r="E79" s="243"/>
      <c r="F79" s="243"/>
      <c r="G79" s="243"/>
      <c r="H79" s="243"/>
      <c r="I79" s="243"/>
      <c r="J79" s="243">
        <f>('建设期付息政府付费用估算表 '!J11)/(1+6%)*6%</f>
        <v>1728.55091251509</v>
      </c>
      <c r="K79" s="243">
        <f>('建设期付息政府付费用估算表 '!K11)/(1+6%)*6%</f>
        <v>1736.6992201</v>
      </c>
      <c r="L79" s="243">
        <f>('建设期付息政府付费用估算表 '!L11)/(1+6%)*6%</f>
        <v>1744.06190076083</v>
      </c>
      <c r="M79" s="243">
        <f>('建设期付息政府付费用估算表 '!M11)/(1+6%)*6%</f>
        <v>1748.5510110075</v>
      </c>
      <c r="N79" s="243">
        <f>('建设期付息政府付费用估算表 '!N11)/(1+6%)*6%</f>
        <v>1746.65976950036</v>
      </c>
      <c r="O79" s="243">
        <f>('建设期付息政府付费用估算表 '!O11)/(1+6%)*6%</f>
        <v>1748.03560271019</v>
      </c>
      <c r="P79" s="243">
        <f>('建设期付息政府付费用估算表 '!P11)/(1+6%)*6%</f>
        <v>1749.84792565978</v>
      </c>
      <c r="Q79" s="243">
        <f>('建设期付息政府付费用估算表 '!Q11)/(1+6%)*6%</f>
        <v>1749.84792565978</v>
      </c>
      <c r="R79" s="243">
        <f>('建设期付息政府付费用估算表 '!R11)/(1+6%)*6%</f>
        <v>1746.5808509428</v>
      </c>
      <c r="S79" s="243">
        <f>('建设期付息政府付费用估算表 '!S11)/(1+6%)*6%</f>
        <v>1749.13403122473</v>
      </c>
      <c r="T79" s="263"/>
      <c r="U79" s="263"/>
      <c r="V79" s="263"/>
      <c r="W79" s="263"/>
      <c r="X79" s="263"/>
      <c r="Y79" s="263"/>
      <c r="Z79" s="263"/>
    </row>
    <row r="80" s="109" customFormat="1" hidden="1" spans="1:26">
      <c r="A80" s="124"/>
      <c r="B80" s="125"/>
      <c r="C80" s="123"/>
      <c r="D80" s="243">
        <f t="shared" si="61"/>
        <v>47458.0426066854</v>
      </c>
      <c r="E80" s="243"/>
      <c r="F80" s="243"/>
      <c r="G80" s="243"/>
      <c r="H80" s="243"/>
      <c r="I80" s="243"/>
      <c r="J80" s="243">
        <f>('建设期付息政府付费用估算表 '!J12)/(1+6%)*6%</f>
        <v>4683.4068857525</v>
      </c>
      <c r="K80" s="243">
        <f>('建设期付息政府付费用估算表 '!K12)/(1+6%)*6%</f>
        <v>4703.69698259213</v>
      </c>
      <c r="L80" s="243">
        <f>('建设期付息政府付费用估算表 '!L12)/(1+6%)*6%</f>
        <v>4738.72374843741</v>
      </c>
      <c r="M80" s="243">
        <f>('建设期付息政府付费用估算表 '!M12)/(1+6%)*6%</f>
        <v>4754.92789562201</v>
      </c>
      <c r="N80" s="243">
        <f>('建设期付息政府付费用估算表 '!N12)/(1+6%)*6%</f>
        <v>4752.28644860847</v>
      </c>
      <c r="O80" s="243">
        <f>('建设期付息政府付费用估算表 '!O12)/(1+6%)*6%</f>
        <v>4758.88756008548</v>
      </c>
      <c r="P80" s="243">
        <f>('建设期付息政府付费用估算表 '!P12)/(1+6%)*6%</f>
        <v>4769.05387992882</v>
      </c>
      <c r="Q80" s="243">
        <f>('建设期付息政府付费用估算表 '!Q12)/(1+6%)*6%</f>
        <v>4769.05387992882</v>
      </c>
      <c r="R80" s="243">
        <f>('建设期付息政府付费用估算表 '!R12)/(1+6%)*6%</f>
        <v>4759.81132143826</v>
      </c>
      <c r="S80" s="243">
        <f>('建设期付息政府付费用估算表 '!S12)/(1+6%)*6%</f>
        <v>4768.19400429147</v>
      </c>
      <c r="T80" s="263"/>
      <c r="U80" s="263"/>
      <c r="V80" s="263"/>
      <c r="W80" s="263"/>
      <c r="X80" s="263"/>
      <c r="Y80" s="263"/>
      <c r="Z80" s="263"/>
    </row>
    <row r="81" s="179" customFormat="1" ht="40.5" customHeight="1" spans="1:26">
      <c r="A81" s="117" t="s">
        <v>21</v>
      </c>
      <c r="B81" s="248" t="s">
        <v>356</v>
      </c>
      <c r="C81" s="119" t="s">
        <v>4</v>
      </c>
      <c r="D81" s="247">
        <f t="shared" si="61"/>
        <v>2573.53781818182</v>
      </c>
      <c r="E81" s="247"/>
      <c r="F81" s="247"/>
      <c r="G81" s="247"/>
      <c r="H81" s="247"/>
      <c r="I81" s="247"/>
      <c r="J81" s="247">
        <f t="shared" ref="J81:S81" si="63">SUM(J82:J84)</f>
        <v>152.717723636364</v>
      </c>
      <c r="K81" s="247">
        <f t="shared" si="63"/>
        <v>169.663178181818</v>
      </c>
      <c r="L81" s="247">
        <f t="shared" si="63"/>
        <v>209.272116363636</v>
      </c>
      <c r="M81" s="247">
        <f t="shared" si="63"/>
        <v>226.217570909091</v>
      </c>
      <c r="N81" s="247">
        <f t="shared" si="63"/>
        <v>265.826509090909</v>
      </c>
      <c r="O81" s="247">
        <f t="shared" si="63"/>
        <v>282.771963636364</v>
      </c>
      <c r="P81" s="247">
        <f t="shared" si="63"/>
        <v>305.435447272727</v>
      </c>
      <c r="Q81" s="247">
        <f t="shared" si="63"/>
        <v>305.435447272727</v>
      </c>
      <c r="R81" s="247">
        <f t="shared" si="63"/>
        <v>328.098930909091</v>
      </c>
      <c r="S81" s="247">
        <f t="shared" si="63"/>
        <v>328.098930909091</v>
      </c>
      <c r="T81" s="264"/>
      <c r="U81" s="264"/>
      <c r="V81" s="264"/>
      <c r="W81" s="264"/>
      <c r="X81" s="264"/>
      <c r="Y81" s="264"/>
      <c r="Z81" s="264"/>
    </row>
    <row r="82" s="109" customFormat="1" hidden="1" spans="1:26">
      <c r="A82" s="121"/>
      <c r="B82" s="249"/>
      <c r="C82" s="123" t="s">
        <v>13</v>
      </c>
      <c r="D82" s="243">
        <f t="shared" si="61"/>
        <v>434.612727272727</v>
      </c>
      <c r="E82" s="243"/>
      <c r="F82" s="243"/>
      <c r="G82" s="243"/>
      <c r="H82" s="243"/>
      <c r="I82" s="243"/>
      <c r="J82" s="243">
        <f>使用者付费!K5/(1+10%)*10%</f>
        <v>25.7167636363636</v>
      </c>
      <c r="K82" s="243">
        <f>使用者付费!L5/(1+10%)*10%</f>
        <v>29.3167636363636</v>
      </c>
      <c r="L82" s="243">
        <f>使用者付费!M5/(1+10%)*10%</f>
        <v>35.4890181818182</v>
      </c>
      <c r="M82" s="243">
        <f>使用者付费!N5/(1+10%)*10%</f>
        <v>39.0890181818182</v>
      </c>
      <c r="N82" s="243">
        <f>使用者付费!O5/(1+10%)*10%</f>
        <v>45.2612727272727</v>
      </c>
      <c r="O82" s="243">
        <f>使用者付费!P5/(1+10%)*10%</f>
        <v>48.8612727272727</v>
      </c>
      <c r="P82" s="243">
        <f>使用者付费!Q5/(1+10%)*10%</f>
        <v>51.4335272727273</v>
      </c>
      <c r="Q82" s="243">
        <f>使用者付费!R5/(1+10%)*10%</f>
        <v>51.4335272727273</v>
      </c>
      <c r="R82" s="243">
        <f>使用者付费!S5/(1+10%)*10%</f>
        <v>54.0057818181818</v>
      </c>
      <c r="S82" s="243">
        <f>使用者付费!T5/(1+10%)*10%</f>
        <v>54.0057818181818</v>
      </c>
      <c r="T82" s="263"/>
      <c r="U82" s="263"/>
      <c r="V82" s="263"/>
      <c r="W82" s="263"/>
      <c r="X82" s="263"/>
      <c r="Y82" s="263"/>
      <c r="Z82" s="263"/>
    </row>
    <row r="83" s="109" customFormat="1" hidden="1" spans="1:26">
      <c r="A83" s="121"/>
      <c r="B83" s="249"/>
      <c r="C83" s="123" t="s">
        <v>14</v>
      </c>
      <c r="D83" s="243">
        <f t="shared" si="61"/>
        <v>506.537818181818</v>
      </c>
      <c r="E83" s="243"/>
      <c r="F83" s="243"/>
      <c r="G83" s="243"/>
      <c r="H83" s="243"/>
      <c r="I83" s="243"/>
      <c r="J83" s="243">
        <f>使用者付费!K6/(1+10%)*10%</f>
        <v>30.1049963636364</v>
      </c>
      <c r="K83" s="243">
        <f>使用者付费!L6/(1+10%)*10%</f>
        <v>32.9777236363636</v>
      </c>
      <c r="L83" s="243">
        <f>使用者付费!M6/(1+10%)*10%</f>
        <v>41.0975709090909</v>
      </c>
      <c r="M83" s="243">
        <f>使用者付费!N6/(1+10%)*10%</f>
        <v>43.9702981818182</v>
      </c>
      <c r="N83" s="243">
        <f>使用者付费!O6/(1+10%)*10%</f>
        <v>52.0901454545455</v>
      </c>
      <c r="O83" s="243">
        <f>使用者付费!P6/(1+10%)*10%</f>
        <v>54.9628727272727</v>
      </c>
      <c r="P83" s="243">
        <f>使用者付费!Q6/(1+10%)*10%</f>
        <v>60.2099927272727</v>
      </c>
      <c r="Q83" s="243">
        <f>使用者付费!R6/(1+10%)*10%</f>
        <v>60.2099927272727</v>
      </c>
      <c r="R83" s="243">
        <f>使用者付费!S6/(1+10%)*10%</f>
        <v>65.4571127272727</v>
      </c>
      <c r="S83" s="243">
        <f>使用者付费!T6/(1+10%)*10%</f>
        <v>65.4571127272727</v>
      </c>
      <c r="T83" s="263"/>
      <c r="U83" s="263"/>
      <c r="V83" s="263"/>
      <c r="W83" s="263"/>
      <c r="X83" s="263"/>
      <c r="Y83" s="263"/>
      <c r="Z83" s="263"/>
    </row>
    <row r="84" s="109" customFormat="1" hidden="1" spans="1:26">
      <c r="A84" s="121"/>
      <c r="B84" s="249"/>
      <c r="C84" s="126" t="s">
        <v>15</v>
      </c>
      <c r="D84" s="250">
        <f t="shared" si="61"/>
        <v>1632.38727272727</v>
      </c>
      <c r="E84" s="250"/>
      <c r="F84" s="250"/>
      <c r="G84" s="250"/>
      <c r="H84" s="250"/>
      <c r="I84" s="250"/>
      <c r="J84" s="250">
        <f>使用者付费!K7/(1+10%)*10%</f>
        <v>96.8959636363636</v>
      </c>
      <c r="K84" s="250">
        <f>使用者付费!L7/(1+10%)*10%</f>
        <v>107.368690909091</v>
      </c>
      <c r="L84" s="250">
        <f>使用者付费!M7/(1+10%)*10%</f>
        <v>132.685527272727</v>
      </c>
      <c r="M84" s="250">
        <f>使用者付费!N7/(1+10%)*10%</f>
        <v>143.158254545455</v>
      </c>
      <c r="N84" s="250">
        <f>使用者付费!O7/(1+10%)*10%</f>
        <v>168.475090909091</v>
      </c>
      <c r="O84" s="250">
        <f>使用者付费!P7/(1+10%)*10%</f>
        <v>178.947818181818</v>
      </c>
      <c r="P84" s="250">
        <f>使用者付费!Q7/(1+10%)*10%</f>
        <v>193.791927272727</v>
      </c>
      <c r="Q84" s="250">
        <f>使用者付费!R7/(1+10%)*10%</f>
        <v>193.791927272727</v>
      </c>
      <c r="R84" s="250">
        <f>使用者付费!S7/(1+10%)*10%</f>
        <v>208.636036363636</v>
      </c>
      <c r="S84" s="250">
        <f>使用者付费!T7/(1+10%)*10%</f>
        <v>208.636036363636</v>
      </c>
      <c r="T84" s="263"/>
      <c r="U84" s="263"/>
      <c r="V84" s="263"/>
      <c r="W84" s="263"/>
      <c r="X84" s="263"/>
      <c r="Y84" s="263"/>
      <c r="Z84" s="263"/>
    </row>
    <row r="85" s="180" customFormat="1" ht="27" customHeight="1" spans="1:16384">
      <c r="A85" s="128">
        <v>1.2</v>
      </c>
      <c r="B85" s="129" t="s">
        <v>357</v>
      </c>
      <c r="C85" s="642" t="s">
        <v>4</v>
      </c>
      <c r="D85" s="252">
        <f t="shared" si="55"/>
        <v>73532.295606761</v>
      </c>
      <c r="E85" s="253">
        <f t="shared" ref="E85:S85" si="64">E89+E93+E81</f>
        <v>13341.4303995907</v>
      </c>
      <c r="F85" s="253">
        <f t="shared" si="64"/>
        <v>13341.4303995907</v>
      </c>
      <c r="G85" s="253">
        <f t="shared" si="64"/>
        <v>13341.4303995907</v>
      </c>
      <c r="H85" s="253">
        <f t="shared" si="64"/>
        <v>13341.4303995907</v>
      </c>
      <c r="I85" s="253">
        <f t="shared" si="64"/>
        <v>13341.4303995907</v>
      </c>
      <c r="J85" s="253">
        <f t="shared" si="64"/>
        <v>325.200589936384</v>
      </c>
      <c r="K85" s="253">
        <f t="shared" si="64"/>
        <v>388.921313076178</v>
      </c>
      <c r="L85" s="253">
        <f t="shared" si="64"/>
        <v>566.385490122189</v>
      </c>
      <c r="M85" s="253">
        <f t="shared" si="64"/>
        <v>636.850096732531</v>
      </c>
      <c r="N85" s="253">
        <f t="shared" si="64"/>
        <v>711.890068696269</v>
      </c>
      <c r="O85" s="253">
        <f t="shared" si="64"/>
        <v>769.274583237462</v>
      </c>
      <c r="P85" s="253">
        <f t="shared" si="64"/>
        <v>839.930766908706</v>
      </c>
      <c r="Q85" s="253">
        <f t="shared" si="64"/>
        <v>839.930766908706</v>
      </c>
      <c r="R85" s="253">
        <f t="shared" si="64"/>
        <v>865.376487330524</v>
      </c>
      <c r="S85" s="253">
        <f t="shared" si="64"/>
        <v>881.38344585835</v>
      </c>
      <c r="T85" s="129"/>
      <c r="U85" s="251"/>
      <c r="V85" s="129"/>
      <c r="W85" s="251"/>
      <c r="X85" s="129"/>
      <c r="Y85" s="251"/>
      <c r="Z85" s="129"/>
      <c r="AA85" s="267"/>
      <c r="AB85" s="268"/>
      <c r="AC85" s="267"/>
      <c r="AD85" s="268"/>
      <c r="AE85" s="267"/>
      <c r="AF85" s="268"/>
      <c r="AG85" s="267"/>
      <c r="AH85" s="268"/>
      <c r="AI85" s="267"/>
      <c r="AJ85" s="268"/>
      <c r="AK85" s="267"/>
      <c r="AL85" s="268"/>
      <c r="AM85" s="267"/>
      <c r="AN85" s="268"/>
      <c r="AO85" s="267"/>
      <c r="AP85" s="268"/>
      <c r="AQ85" s="267"/>
      <c r="AR85" s="268"/>
      <c r="AS85" s="267"/>
      <c r="AT85" s="268"/>
      <c r="AU85" s="267"/>
      <c r="AV85" s="268"/>
      <c r="AW85" s="267"/>
      <c r="AX85" s="268"/>
      <c r="AY85" s="267"/>
      <c r="AZ85" s="268"/>
      <c r="BA85" s="267"/>
      <c r="BB85" s="268"/>
      <c r="BC85" s="267"/>
      <c r="BD85" s="268"/>
      <c r="BE85" s="267"/>
      <c r="BF85" s="268"/>
      <c r="BG85" s="267"/>
      <c r="BH85" s="268"/>
      <c r="BI85" s="267"/>
      <c r="BJ85" s="268"/>
      <c r="BK85" s="267"/>
      <c r="BL85" s="268"/>
      <c r="BM85" s="267"/>
      <c r="BN85" s="268"/>
      <c r="BO85" s="267"/>
      <c r="BP85" s="268"/>
      <c r="BQ85" s="267"/>
      <c r="BR85" s="268"/>
      <c r="BS85" s="267"/>
      <c r="BT85" s="268"/>
      <c r="BU85" s="267"/>
      <c r="BV85" s="268"/>
      <c r="BW85" s="267"/>
      <c r="BX85" s="268"/>
      <c r="BY85" s="267"/>
      <c r="BZ85" s="268"/>
      <c r="CA85" s="267"/>
      <c r="CB85" s="268"/>
      <c r="CC85" s="267"/>
      <c r="CD85" s="268"/>
      <c r="CE85" s="267"/>
      <c r="CF85" s="268"/>
      <c r="CG85" s="267"/>
      <c r="CH85" s="268"/>
      <c r="CI85" s="267"/>
      <c r="CJ85" s="268"/>
      <c r="CK85" s="267"/>
      <c r="CL85" s="268"/>
      <c r="CM85" s="267"/>
      <c r="CN85" s="268"/>
      <c r="CO85" s="267"/>
      <c r="CP85" s="268"/>
      <c r="CQ85" s="267"/>
      <c r="CR85" s="268"/>
      <c r="CS85" s="267"/>
      <c r="CT85" s="268"/>
      <c r="CU85" s="267"/>
      <c r="CV85" s="268"/>
      <c r="CW85" s="267"/>
      <c r="CX85" s="268"/>
      <c r="CY85" s="267"/>
      <c r="CZ85" s="268"/>
      <c r="DA85" s="267"/>
      <c r="DB85" s="268"/>
      <c r="DC85" s="267"/>
      <c r="DD85" s="268"/>
      <c r="DE85" s="267"/>
      <c r="DF85" s="268"/>
      <c r="DG85" s="267"/>
      <c r="DH85" s="268"/>
      <c r="DI85" s="267"/>
      <c r="DJ85" s="268"/>
      <c r="DK85" s="267"/>
      <c r="DL85" s="268"/>
      <c r="DM85" s="267"/>
      <c r="DN85" s="268"/>
      <c r="DO85" s="267"/>
      <c r="DP85" s="268"/>
      <c r="DQ85" s="267"/>
      <c r="DR85" s="268"/>
      <c r="DS85" s="267"/>
      <c r="DT85" s="268"/>
      <c r="DU85" s="267"/>
      <c r="DV85" s="268"/>
      <c r="DW85" s="267"/>
      <c r="DX85" s="268"/>
      <c r="DY85" s="267"/>
      <c r="DZ85" s="268"/>
      <c r="EA85" s="267"/>
      <c r="EB85" s="268"/>
      <c r="EC85" s="267"/>
      <c r="ED85" s="268"/>
      <c r="EE85" s="267"/>
      <c r="EF85" s="268"/>
      <c r="EG85" s="267"/>
      <c r="EH85" s="268"/>
      <c r="EI85" s="267"/>
      <c r="EJ85" s="268"/>
      <c r="EK85" s="267"/>
      <c r="EL85" s="268"/>
      <c r="EM85" s="267"/>
      <c r="EN85" s="268"/>
      <c r="EO85" s="267"/>
      <c r="EP85" s="268"/>
      <c r="EQ85" s="267"/>
      <c r="ER85" s="268"/>
      <c r="ES85" s="267"/>
      <c r="ET85" s="268"/>
      <c r="EU85" s="267"/>
      <c r="EV85" s="268"/>
      <c r="EW85" s="267"/>
      <c r="EX85" s="268"/>
      <c r="EY85" s="267"/>
      <c r="EZ85" s="268"/>
      <c r="FA85" s="267"/>
      <c r="FB85" s="268"/>
      <c r="FC85" s="267"/>
      <c r="FD85" s="268"/>
      <c r="FE85" s="267"/>
      <c r="FF85" s="268"/>
      <c r="FG85" s="267"/>
      <c r="FH85" s="268"/>
      <c r="FI85" s="267"/>
      <c r="FJ85" s="268"/>
      <c r="FK85" s="267"/>
      <c r="FL85" s="268"/>
      <c r="FM85" s="267"/>
      <c r="FN85" s="268"/>
      <c r="FO85" s="267"/>
      <c r="FP85" s="268"/>
      <c r="FQ85" s="267"/>
      <c r="FR85" s="268"/>
      <c r="FS85" s="267"/>
      <c r="FT85" s="268"/>
      <c r="FU85" s="267"/>
      <c r="FV85" s="268"/>
      <c r="FW85" s="267"/>
      <c r="FX85" s="268"/>
      <c r="FY85" s="267"/>
      <c r="FZ85" s="268"/>
      <c r="GA85" s="267"/>
      <c r="GB85" s="268"/>
      <c r="GC85" s="267"/>
      <c r="GD85" s="268"/>
      <c r="GE85" s="267"/>
      <c r="GF85" s="268"/>
      <c r="GG85" s="267"/>
      <c r="GH85" s="268"/>
      <c r="GI85" s="267"/>
      <c r="GJ85" s="268"/>
      <c r="GK85" s="267"/>
      <c r="GL85" s="268"/>
      <c r="GM85" s="267"/>
      <c r="GN85" s="268"/>
      <c r="GO85" s="267"/>
      <c r="GP85" s="268"/>
      <c r="GQ85" s="267"/>
      <c r="GR85" s="268"/>
      <c r="GS85" s="267"/>
      <c r="GT85" s="268"/>
      <c r="GU85" s="267"/>
      <c r="GV85" s="268"/>
      <c r="GW85" s="267"/>
      <c r="GX85" s="268"/>
      <c r="GY85" s="267"/>
      <c r="GZ85" s="268"/>
      <c r="HA85" s="267"/>
      <c r="HB85" s="268"/>
      <c r="HC85" s="267"/>
      <c r="HD85" s="268"/>
      <c r="HE85" s="267"/>
      <c r="HF85" s="268"/>
      <c r="HG85" s="267"/>
      <c r="HH85" s="268"/>
      <c r="HI85" s="267"/>
      <c r="HJ85" s="268"/>
      <c r="HK85" s="267"/>
      <c r="HL85" s="268"/>
      <c r="HM85" s="267"/>
      <c r="HN85" s="268"/>
      <c r="HO85" s="267"/>
      <c r="HP85" s="268"/>
      <c r="HQ85" s="267"/>
      <c r="HR85" s="268"/>
      <c r="HS85" s="267"/>
      <c r="HT85" s="268"/>
      <c r="HU85" s="267"/>
      <c r="HV85" s="268"/>
      <c r="HW85" s="267"/>
      <c r="HX85" s="268"/>
      <c r="HY85" s="267"/>
      <c r="HZ85" s="268"/>
      <c r="IA85" s="267"/>
      <c r="IB85" s="268"/>
      <c r="IC85" s="267"/>
      <c r="ID85" s="268"/>
      <c r="IE85" s="267"/>
      <c r="IF85" s="268"/>
      <c r="IG85" s="267"/>
      <c r="IH85" s="268"/>
      <c r="II85" s="267"/>
      <c r="IJ85" s="268"/>
      <c r="IK85" s="267"/>
      <c r="IL85" s="268"/>
      <c r="IM85" s="267"/>
      <c r="IN85" s="268"/>
      <c r="IO85" s="267"/>
      <c r="IP85" s="268"/>
      <c r="IQ85" s="267"/>
      <c r="IR85" s="268"/>
      <c r="IS85" s="267"/>
      <c r="IT85" s="268"/>
      <c r="IU85" s="267"/>
      <c r="IV85" s="268"/>
      <c r="IW85" s="267"/>
      <c r="IX85" s="268"/>
      <c r="IY85" s="267"/>
      <c r="IZ85" s="268"/>
      <c r="JA85" s="267"/>
      <c r="JB85" s="268"/>
      <c r="JC85" s="267"/>
      <c r="JD85" s="268"/>
      <c r="JE85" s="267"/>
      <c r="JF85" s="268"/>
      <c r="JG85" s="267"/>
      <c r="JH85" s="268"/>
      <c r="JI85" s="267"/>
      <c r="JJ85" s="268"/>
      <c r="JK85" s="267"/>
      <c r="JL85" s="268"/>
      <c r="JM85" s="267"/>
      <c r="JN85" s="268"/>
      <c r="JO85" s="267"/>
      <c r="JP85" s="268"/>
      <c r="JQ85" s="267"/>
      <c r="JR85" s="268"/>
      <c r="JS85" s="267"/>
      <c r="JT85" s="268"/>
      <c r="JU85" s="267"/>
      <c r="JV85" s="268"/>
      <c r="JW85" s="267"/>
      <c r="JX85" s="268"/>
      <c r="JY85" s="267"/>
      <c r="JZ85" s="268"/>
      <c r="KA85" s="267"/>
      <c r="KB85" s="268"/>
      <c r="KC85" s="267"/>
      <c r="KD85" s="268"/>
      <c r="KE85" s="267"/>
      <c r="KF85" s="268"/>
      <c r="KG85" s="267"/>
      <c r="KH85" s="268"/>
      <c r="KI85" s="267"/>
      <c r="KJ85" s="268"/>
      <c r="KK85" s="267"/>
      <c r="KL85" s="268"/>
      <c r="KM85" s="267"/>
      <c r="KN85" s="268"/>
      <c r="KO85" s="267"/>
      <c r="KP85" s="268"/>
      <c r="KQ85" s="267"/>
      <c r="KR85" s="268"/>
      <c r="KS85" s="267"/>
      <c r="KT85" s="268"/>
      <c r="KU85" s="267"/>
      <c r="KV85" s="268"/>
      <c r="KW85" s="267"/>
      <c r="KX85" s="268"/>
      <c r="KY85" s="267"/>
      <c r="KZ85" s="268"/>
      <c r="LA85" s="267"/>
      <c r="LB85" s="268"/>
      <c r="LC85" s="267"/>
      <c r="LD85" s="268"/>
      <c r="LE85" s="267"/>
      <c r="LF85" s="268"/>
      <c r="LG85" s="267"/>
      <c r="LH85" s="268"/>
      <c r="LI85" s="267"/>
      <c r="LJ85" s="268"/>
      <c r="LK85" s="267"/>
      <c r="LL85" s="268"/>
      <c r="LM85" s="267"/>
      <c r="LN85" s="268"/>
      <c r="LO85" s="267"/>
      <c r="LP85" s="268"/>
      <c r="LQ85" s="267"/>
      <c r="LR85" s="268"/>
      <c r="LS85" s="267"/>
      <c r="LT85" s="268"/>
      <c r="LU85" s="267"/>
      <c r="LV85" s="268"/>
      <c r="LW85" s="267"/>
      <c r="LX85" s="268"/>
      <c r="LY85" s="267"/>
      <c r="LZ85" s="268"/>
      <c r="MA85" s="267"/>
      <c r="MB85" s="268"/>
      <c r="MC85" s="267"/>
      <c r="MD85" s="268"/>
      <c r="ME85" s="267"/>
      <c r="MF85" s="268"/>
      <c r="MG85" s="267"/>
      <c r="MH85" s="268"/>
      <c r="MI85" s="267"/>
      <c r="MJ85" s="268"/>
      <c r="MK85" s="267"/>
      <c r="ML85" s="268"/>
      <c r="MM85" s="267"/>
      <c r="MN85" s="268"/>
      <c r="MO85" s="267"/>
      <c r="MP85" s="268"/>
      <c r="MQ85" s="267"/>
      <c r="MR85" s="268"/>
      <c r="MS85" s="267"/>
      <c r="MT85" s="268"/>
      <c r="MU85" s="267"/>
      <c r="MV85" s="268"/>
      <c r="MW85" s="267"/>
      <c r="MX85" s="268"/>
      <c r="MY85" s="267"/>
      <c r="MZ85" s="268"/>
      <c r="NA85" s="267"/>
      <c r="NB85" s="268"/>
      <c r="NC85" s="267"/>
      <c r="ND85" s="268"/>
      <c r="NE85" s="267"/>
      <c r="NF85" s="268"/>
      <c r="NG85" s="267"/>
      <c r="NH85" s="268"/>
      <c r="NI85" s="267"/>
      <c r="NJ85" s="268"/>
      <c r="NK85" s="267"/>
      <c r="NL85" s="268"/>
      <c r="NM85" s="267"/>
      <c r="NN85" s="268"/>
      <c r="NO85" s="267"/>
      <c r="NP85" s="268"/>
      <c r="NQ85" s="267"/>
      <c r="NR85" s="268"/>
      <c r="NS85" s="267"/>
      <c r="NT85" s="268"/>
      <c r="NU85" s="267"/>
      <c r="NV85" s="268"/>
      <c r="NW85" s="267"/>
      <c r="NX85" s="268"/>
      <c r="NY85" s="267"/>
      <c r="NZ85" s="268"/>
      <c r="OA85" s="267"/>
      <c r="OB85" s="268"/>
      <c r="OC85" s="267"/>
      <c r="OD85" s="268"/>
      <c r="OE85" s="267"/>
      <c r="OF85" s="268"/>
      <c r="OG85" s="267"/>
      <c r="OH85" s="268"/>
      <c r="OI85" s="267"/>
      <c r="OJ85" s="268"/>
      <c r="OK85" s="267"/>
      <c r="OL85" s="268"/>
      <c r="OM85" s="267"/>
      <c r="ON85" s="268"/>
      <c r="OO85" s="267"/>
      <c r="OP85" s="268"/>
      <c r="OQ85" s="267"/>
      <c r="OR85" s="268"/>
      <c r="OS85" s="267"/>
      <c r="OT85" s="268"/>
      <c r="OU85" s="267"/>
      <c r="OV85" s="268"/>
      <c r="OW85" s="267"/>
      <c r="OX85" s="268"/>
      <c r="OY85" s="267"/>
      <c r="OZ85" s="268"/>
      <c r="PA85" s="267"/>
      <c r="PB85" s="268"/>
      <c r="PC85" s="267"/>
      <c r="PD85" s="268"/>
      <c r="PE85" s="267"/>
      <c r="PF85" s="268"/>
      <c r="PG85" s="267"/>
      <c r="PH85" s="268"/>
      <c r="PI85" s="267"/>
      <c r="PJ85" s="268"/>
      <c r="PK85" s="267"/>
      <c r="PL85" s="268"/>
      <c r="PM85" s="267"/>
      <c r="PN85" s="268"/>
      <c r="PO85" s="267"/>
      <c r="PP85" s="268"/>
      <c r="PQ85" s="267"/>
      <c r="PR85" s="268"/>
      <c r="PS85" s="267"/>
      <c r="PT85" s="268"/>
      <c r="PU85" s="267"/>
      <c r="PV85" s="268"/>
      <c r="PW85" s="267"/>
      <c r="PX85" s="268"/>
      <c r="PY85" s="267"/>
      <c r="PZ85" s="268"/>
      <c r="QA85" s="267"/>
      <c r="QB85" s="268"/>
      <c r="QC85" s="267"/>
      <c r="QD85" s="268"/>
      <c r="QE85" s="267"/>
      <c r="QF85" s="268"/>
      <c r="QG85" s="267"/>
      <c r="QH85" s="268"/>
      <c r="QI85" s="267"/>
      <c r="QJ85" s="268"/>
      <c r="QK85" s="267"/>
      <c r="QL85" s="268"/>
      <c r="QM85" s="267"/>
      <c r="QN85" s="268"/>
      <c r="QO85" s="267"/>
      <c r="QP85" s="268"/>
      <c r="QQ85" s="267"/>
      <c r="QR85" s="268"/>
      <c r="QS85" s="267"/>
      <c r="QT85" s="268"/>
      <c r="QU85" s="267"/>
      <c r="QV85" s="268"/>
      <c r="QW85" s="267"/>
      <c r="QX85" s="268"/>
      <c r="QY85" s="267"/>
      <c r="QZ85" s="268"/>
      <c r="RA85" s="267"/>
      <c r="RB85" s="268"/>
      <c r="RC85" s="267"/>
      <c r="RD85" s="268"/>
      <c r="RE85" s="267"/>
      <c r="RF85" s="268"/>
      <c r="RG85" s="267"/>
      <c r="RH85" s="268"/>
      <c r="RI85" s="267"/>
      <c r="RJ85" s="268"/>
      <c r="RK85" s="267"/>
      <c r="RL85" s="268"/>
      <c r="RM85" s="267"/>
      <c r="RN85" s="268"/>
      <c r="RO85" s="267"/>
      <c r="RP85" s="268"/>
      <c r="RQ85" s="267"/>
      <c r="RR85" s="268"/>
      <c r="RS85" s="267"/>
      <c r="RT85" s="268"/>
      <c r="RU85" s="267"/>
      <c r="RV85" s="268"/>
      <c r="RW85" s="267"/>
      <c r="RX85" s="268"/>
      <c r="RY85" s="267"/>
      <c r="RZ85" s="268"/>
      <c r="SA85" s="267"/>
      <c r="SB85" s="268"/>
      <c r="SC85" s="267"/>
      <c r="SD85" s="268"/>
      <c r="SE85" s="267"/>
      <c r="SF85" s="268"/>
      <c r="SG85" s="267"/>
      <c r="SH85" s="268"/>
      <c r="SI85" s="267"/>
      <c r="SJ85" s="268"/>
      <c r="SK85" s="267"/>
      <c r="SL85" s="268"/>
      <c r="SM85" s="267"/>
      <c r="SN85" s="268"/>
      <c r="SO85" s="267"/>
      <c r="SP85" s="268"/>
      <c r="SQ85" s="267"/>
      <c r="SR85" s="268"/>
      <c r="SS85" s="267"/>
      <c r="ST85" s="268"/>
      <c r="SU85" s="267"/>
      <c r="SV85" s="268"/>
      <c r="SW85" s="267"/>
      <c r="SX85" s="268"/>
      <c r="SY85" s="267"/>
      <c r="SZ85" s="268"/>
      <c r="TA85" s="267"/>
      <c r="TB85" s="268"/>
      <c r="TC85" s="267"/>
      <c r="TD85" s="268"/>
      <c r="TE85" s="267"/>
      <c r="TF85" s="268"/>
      <c r="TG85" s="267"/>
      <c r="TH85" s="268"/>
      <c r="TI85" s="267"/>
      <c r="TJ85" s="268"/>
      <c r="TK85" s="267"/>
      <c r="TL85" s="268"/>
      <c r="TM85" s="267"/>
      <c r="TN85" s="268"/>
      <c r="TO85" s="267"/>
      <c r="TP85" s="268"/>
      <c r="TQ85" s="267"/>
      <c r="TR85" s="268"/>
      <c r="TS85" s="267"/>
      <c r="TT85" s="268"/>
      <c r="TU85" s="267"/>
      <c r="TV85" s="268"/>
      <c r="TW85" s="267"/>
      <c r="TX85" s="268"/>
      <c r="TY85" s="267"/>
      <c r="TZ85" s="268"/>
      <c r="UA85" s="267"/>
      <c r="UB85" s="268"/>
      <c r="UC85" s="267"/>
      <c r="UD85" s="268"/>
      <c r="UE85" s="267"/>
      <c r="UF85" s="268"/>
      <c r="UG85" s="267"/>
      <c r="UH85" s="268"/>
      <c r="UI85" s="267"/>
      <c r="UJ85" s="268"/>
      <c r="UK85" s="267"/>
      <c r="UL85" s="268"/>
      <c r="UM85" s="267"/>
      <c r="UN85" s="268"/>
      <c r="UO85" s="267"/>
      <c r="UP85" s="268"/>
      <c r="UQ85" s="267"/>
      <c r="UR85" s="268"/>
      <c r="US85" s="267"/>
      <c r="UT85" s="268"/>
      <c r="UU85" s="267"/>
      <c r="UV85" s="268"/>
      <c r="UW85" s="267"/>
      <c r="UX85" s="268"/>
      <c r="UY85" s="267"/>
      <c r="UZ85" s="268"/>
      <c r="VA85" s="267"/>
      <c r="VB85" s="268"/>
      <c r="VC85" s="267"/>
      <c r="VD85" s="268"/>
      <c r="VE85" s="267"/>
      <c r="VF85" s="268"/>
      <c r="VG85" s="267"/>
      <c r="VH85" s="268"/>
      <c r="VI85" s="267"/>
      <c r="VJ85" s="268"/>
      <c r="VK85" s="267"/>
      <c r="VL85" s="268"/>
      <c r="VM85" s="267"/>
      <c r="VN85" s="268"/>
      <c r="VO85" s="267"/>
      <c r="VP85" s="268"/>
      <c r="VQ85" s="267"/>
      <c r="VR85" s="268"/>
      <c r="VS85" s="267"/>
      <c r="VT85" s="268"/>
      <c r="VU85" s="267"/>
      <c r="VV85" s="268"/>
      <c r="VW85" s="267"/>
      <c r="VX85" s="268"/>
      <c r="VY85" s="267"/>
      <c r="VZ85" s="268"/>
      <c r="WA85" s="267"/>
      <c r="WB85" s="268"/>
      <c r="WC85" s="267"/>
      <c r="WD85" s="268"/>
      <c r="WE85" s="267"/>
      <c r="WF85" s="268"/>
      <c r="WG85" s="267"/>
      <c r="WH85" s="268"/>
      <c r="WI85" s="267"/>
      <c r="WJ85" s="268"/>
      <c r="WK85" s="267"/>
      <c r="WL85" s="268"/>
      <c r="WM85" s="267"/>
      <c r="WN85" s="268"/>
      <c r="WO85" s="267"/>
      <c r="WP85" s="268"/>
      <c r="WQ85" s="267"/>
      <c r="WR85" s="268"/>
      <c r="WS85" s="267"/>
      <c r="WT85" s="268"/>
      <c r="WU85" s="267"/>
      <c r="WV85" s="268"/>
      <c r="WW85" s="267"/>
      <c r="WX85" s="268"/>
      <c r="WY85" s="267"/>
      <c r="WZ85" s="268"/>
      <c r="XA85" s="267"/>
      <c r="XB85" s="268"/>
      <c r="XC85" s="267"/>
      <c r="XD85" s="268"/>
      <c r="XE85" s="267"/>
      <c r="XF85" s="268"/>
      <c r="XG85" s="267"/>
      <c r="XH85" s="268"/>
      <c r="XI85" s="267"/>
      <c r="XJ85" s="268"/>
      <c r="XK85" s="267"/>
      <c r="XL85" s="268"/>
      <c r="XM85" s="267"/>
      <c r="XN85" s="268"/>
      <c r="XO85" s="267"/>
      <c r="XP85" s="268"/>
      <c r="XQ85" s="267"/>
      <c r="XR85" s="268"/>
      <c r="XS85" s="267"/>
      <c r="XT85" s="268"/>
      <c r="XU85" s="267"/>
      <c r="XV85" s="268"/>
      <c r="XW85" s="267"/>
      <c r="XX85" s="268"/>
      <c r="XY85" s="267"/>
      <c r="XZ85" s="268"/>
      <c r="YA85" s="267"/>
      <c r="YB85" s="268"/>
      <c r="YC85" s="267"/>
      <c r="YD85" s="268"/>
      <c r="YE85" s="267"/>
      <c r="YF85" s="268"/>
      <c r="YG85" s="267"/>
      <c r="YH85" s="268"/>
      <c r="YI85" s="267"/>
      <c r="YJ85" s="268"/>
      <c r="YK85" s="267"/>
      <c r="YL85" s="268"/>
      <c r="YM85" s="267"/>
      <c r="YN85" s="268"/>
      <c r="YO85" s="267"/>
      <c r="YP85" s="268"/>
      <c r="YQ85" s="267"/>
      <c r="YR85" s="268"/>
      <c r="YS85" s="267"/>
      <c r="YT85" s="268"/>
      <c r="YU85" s="267"/>
      <c r="YV85" s="268"/>
      <c r="YW85" s="267"/>
      <c r="YX85" s="268"/>
      <c r="YY85" s="267"/>
      <c r="YZ85" s="268"/>
      <c r="ZA85" s="267"/>
      <c r="ZB85" s="268"/>
      <c r="ZC85" s="267"/>
      <c r="ZD85" s="268"/>
      <c r="ZE85" s="267"/>
      <c r="ZF85" s="268"/>
      <c r="ZG85" s="267"/>
      <c r="ZH85" s="268"/>
      <c r="ZI85" s="267"/>
      <c r="ZJ85" s="268"/>
      <c r="ZK85" s="267"/>
      <c r="ZL85" s="268"/>
      <c r="ZM85" s="267"/>
      <c r="ZN85" s="268"/>
      <c r="ZO85" s="267"/>
      <c r="ZP85" s="268"/>
      <c r="ZQ85" s="267"/>
      <c r="ZR85" s="268"/>
      <c r="ZS85" s="267"/>
      <c r="ZT85" s="268"/>
      <c r="ZU85" s="267"/>
      <c r="ZV85" s="268"/>
      <c r="ZW85" s="267"/>
      <c r="ZX85" s="268"/>
      <c r="ZY85" s="267"/>
      <c r="ZZ85" s="268"/>
      <c r="AAA85" s="267"/>
      <c r="AAB85" s="268"/>
      <c r="AAC85" s="267"/>
      <c r="AAD85" s="268"/>
      <c r="AAE85" s="267"/>
      <c r="AAF85" s="268"/>
      <c r="AAG85" s="267"/>
      <c r="AAH85" s="268"/>
      <c r="AAI85" s="267"/>
      <c r="AAJ85" s="268"/>
      <c r="AAK85" s="267"/>
      <c r="AAL85" s="268"/>
      <c r="AAM85" s="267"/>
      <c r="AAN85" s="268"/>
      <c r="AAO85" s="267"/>
      <c r="AAP85" s="268"/>
      <c r="AAQ85" s="267"/>
      <c r="AAR85" s="268"/>
      <c r="AAS85" s="267"/>
      <c r="AAT85" s="268"/>
      <c r="AAU85" s="267"/>
      <c r="AAV85" s="268"/>
      <c r="AAW85" s="267"/>
      <c r="AAX85" s="268"/>
      <c r="AAY85" s="267"/>
      <c r="AAZ85" s="268"/>
      <c r="ABA85" s="267"/>
      <c r="ABB85" s="268"/>
      <c r="ABC85" s="267"/>
      <c r="ABD85" s="268"/>
      <c r="ABE85" s="267"/>
      <c r="ABF85" s="268"/>
      <c r="ABG85" s="267"/>
      <c r="ABH85" s="268"/>
      <c r="ABI85" s="267"/>
      <c r="ABJ85" s="268"/>
      <c r="ABK85" s="267"/>
      <c r="ABL85" s="268"/>
      <c r="ABM85" s="267"/>
      <c r="ABN85" s="268"/>
      <c r="ABO85" s="267"/>
      <c r="ABP85" s="268"/>
      <c r="ABQ85" s="267"/>
      <c r="ABR85" s="268"/>
      <c r="ABS85" s="267"/>
      <c r="ABT85" s="268"/>
      <c r="ABU85" s="267"/>
      <c r="ABV85" s="268"/>
      <c r="ABW85" s="267"/>
      <c r="ABX85" s="268"/>
      <c r="ABY85" s="267"/>
      <c r="ABZ85" s="268"/>
      <c r="ACA85" s="267"/>
      <c r="ACB85" s="268"/>
      <c r="ACC85" s="267"/>
      <c r="ACD85" s="268"/>
      <c r="ACE85" s="267"/>
      <c r="ACF85" s="268"/>
      <c r="ACG85" s="267"/>
      <c r="ACH85" s="268"/>
      <c r="ACI85" s="267"/>
      <c r="ACJ85" s="268"/>
      <c r="ACK85" s="267"/>
      <c r="ACL85" s="268"/>
      <c r="ACM85" s="267"/>
      <c r="ACN85" s="268"/>
      <c r="ACO85" s="267"/>
      <c r="ACP85" s="268"/>
      <c r="ACQ85" s="267"/>
      <c r="ACR85" s="268"/>
      <c r="ACS85" s="267"/>
      <c r="ACT85" s="268"/>
      <c r="ACU85" s="267"/>
      <c r="ACV85" s="268"/>
      <c r="ACW85" s="267"/>
      <c r="ACX85" s="268"/>
      <c r="ACY85" s="267"/>
      <c r="ACZ85" s="268"/>
      <c r="ADA85" s="267"/>
      <c r="ADB85" s="268"/>
      <c r="ADC85" s="267"/>
      <c r="ADD85" s="268"/>
      <c r="ADE85" s="267"/>
      <c r="ADF85" s="268"/>
      <c r="ADG85" s="267"/>
      <c r="ADH85" s="268"/>
      <c r="ADI85" s="267"/>
      <c r="ADJ85" s="268"/>
      <c r="ADK85" s="267"/>
      <c r="ADL85" s="268"/>
      <c r="ADM85" s="267"/>
      <c r="ADN85" s="268"/>
      <c r="ADO85" s="267"/>
      <c r="ADP85" s="268"/>
      <c r="ADQ85" s="267"/>
      <c r="ADR85" s="268"/>
      <c r="ADS85" s="267"/>
      <c r="ADT85" s="268"/>
      <c r="ADU85" s="267"/>
      <c r="ADV85" s="268"/>
      <c r="ADW85" s="267"/>
      <c r="ADX85" s="268"/>
      <c r="ADY85" s="267"/>
      <c r="ADZ85" s="268"/>
      <c r="AEA85" s="267"/>
      <c r="AEB85" s="268"/>
      <c r="AEC85" s="267"/>
      <c r="AED85" s="268"/>
      <c r="AEE85" s="267"/>
      <c r="AEF85" s="268"/>
      <c r="AEG85" s="267"/>
      <c r="AEH85" s="268"/>
      <c r="AEI85" s="267"/>
      <c r="AEJ85" s="268"/>
      <c r="AEK85" s="267"/>
      <c r="AEL85" s="268"/>
      <c r="AEM85" s="267"/>
      <c r="AEN85" s="268"/>
      <c r="AEO85" s="267"/>
      <c r="AEP85" s="268"/>
      <c r="AEQ85" s="267"/>
      <c r="AER85" s="268"/>
      <c r="AES85" s="267"/>
      <c r="AET85" s="268"/>
      <c r="AEU85" s="267"/>
      <c r="AEV85" s="268"/>
      <c r="AEW85" s="267"/>
      <c r="AEX85" s="268"/>
      <c r="AEY85" s="267"/>
      <c r="AEZ85" s="268"/>
      <c r="AFA85" s="267"/>
      <c r="AFB85" s="268"/>
      <c r="AFC85" s="267"/>
      <c r="AFD85" s="268"/>
      <c r="AFE85" s="267"/>
      <c r="AFF85" s="268"/>
      <c r="AFG85" s="267"/>
      <c r="AFH85" s="268"/>
      <c r="AFI85" s="267"/>
      <c r="AFJ85" s="268"/>
      <c r="AFK85" s="267"/>
      <c r="AFL85" s="268"/>
      <c r="AFM85" s="267"/>
      <c r="AFN85" s="268"/>
      <c r="AFO85" s="267"/>
      <c r="AFP85" s="268"/>
      <c r="AFQ85" s="267"/>
      <c r="AFR85" s="268"/>
      <c r="AFS85" s="267"/>
      <c r="AFT85" s="268"/>
      <c r="AFU85" s="267"/>
      <c r="AFV85" s="268"/>
      <c r="AFW85" s="267"/>
      <c r="AFX85" s="268"/>
      <c r="AFY85" s="267"/>
      <c r="AFZ85" s="268"/>
      <c r="AGA85" s="267"/>
      <c r="AGB85" s="268"/>
      <c r="AGC85" s="267"/>
      <c r="AGD85" s="268"/>
      <c r="AGE85" s="267"/>
      <c r="AGF85" s="268"/>
      <c r="AGG85" s="267"/>
      <c r="AGH85" s="268"/>
      <c r="AGI85" s="267"/>
      <c r="AGJ85" s="268"/>
      <c r="AGK85" s="267"/>
      <c r="AGL85" s="268"/>
      <c r="AGM85" s="267"/>
      <c r="AGN85" s="268"/>
      <c r="AGO85" s="267"/>
      <c r="AGP85" s="268"/>
      <c r="AGQ85" s="267"/>
      <c r="AGR85" s="268"/>
      <c r="AGS85" s="267"/>
      <c r="AGT85" s="268"/>
      <c r="AGU85" s="267"/>
      <c r="AGV85" s="268"/>
      <c r="AGW85" s="267"/>
      <c r="AGX85" s="268"/>
      <c r="AGY85" s="267"/>
      <c r="AGZ85" s="268"/>
      <c r="AHA85" s="267"/>
      <c r="AHB85" s="268"/>
      <c r="AHC85" s="267"/>
      <c r="AHD85" s="268"/>
      <c r="AHE85" s="267"/>
      <c r="AHF85" s="268"/>
      <c r="AHG85" s="267"/>
      <c r="AHH85" s="268"/>
      <c r="AHI85" s="267"/>
      <c r="AHJ85" s="268"/>
      <c r="AHK85" s="267"/>
      <c r="AHL85" s="268"/>
      <c r="AHM85" s="267"/>
      <c r="AHN85" s="268"/>
      <c r="AHO85" s="267"/>
      <c r="AHP85" s="268"/>
      <c r="AHQ85" s="267"/>
      <c r="AHR85" s="268"/>
      <c r="AHS85" s="267"/>
      <c r="AHT85" s="268"/>
      <c r="AHU85" s="267"/>
      <c r="AHV85" s="268"/>
      <c r="AHW85" s="267"/>
      <c r="AHX85" s="268"/>
      <c r="AHY85" s="267"/>
      <c r="AHZ85" s="268"/>
      <c r="AIA85" s="267"/>
      <c r="AIB85" s="268"/>
      <c r="AIC85" s="267"/>
      <c r="AID85" s="268"/>
      <c r="AIE85" s="267"/>
      <c r="AIF85" s="268"/>
      <c r="AIG85" s="267"/>
      <c r="AIH85" s="268"/>
      <c r="AII85" s="267"/>
      <c r="AIJ85" s="268"/>
      <c r="AIK85" s="267"/>
      <c r="AIL85" s="268"/>
      <c r="AIM85" s="267"/>
      <c r="AIN85" s="268"/>
      <c r="AIO85" s="267"/>
      <c r="AIP85" s="268"/>
      <c r="AIQ85" s="267"/>
      <c r="AIR85" s="268"/>
      <c r="AIS85" s="267"/>
      <c r="AIT85" s="268"/>
      <c r="AIU85" s="267"/>
      <c r="AIV85" s="268"/>
      <c r="AIW85" s="267"/>
      <c r="AIX85" s="268"/>
      <c r="AIY85" s="267"/>
      <c r="AIZ85" s="268"/>
      <c r="AJA85" s="267"/>
      <c r="AJB85" s="268"/>
      <c r="AJC85" s="267"/>
      <c r="AJD85" s="268"/>
      <c r="AJE85" s="267"/>
      <c r="AJF85" s="268"/>
      <c r="AJG85" s="267"/>
      <c r="AJH85" s="268"/>
      <c r="AJI85" s="267"/>
      <c r="AJJ85" s="268"/>
      <c r="AJK85" s="267"/>
      <c r="AJL85" s="268"/>
      <c r="AJM85" s="267"/>
      <c r="AJN85" s="268"/>
      <c r="AJO85" s="267"/>
      <c r="AJP85" s="268"/>
      <c r="AJQ85" s="267"/>
      <c r="AJR85" s="268"/>
      <c r="AJS85" s="267"/>
      <c r="AJT85" s="268"/>
      <c r="AJU85" s="267"/>
      <c r="AJV85" s="268"/>
      <c r="AJW85" s="267"/>
      <c r="AJX85" s="268"/>
      <c r="AJY85" s="267"/>
      <c r="AJZ85" s="268"/>
      <c r="AKA85" s="267"/>
      <c r="AKB85" s="268"/>
      <c r="AKC85" s="267"/>
      <c r="AKD85" s="268"/>
      <c r="AKE85" s="267"/>
      <c r="AKF85" s="268"/>
      <c r="AKG85" s="267"/>
      <c r="AKH85" s="268"/>
      <c r="AKI85" s="267"/>
      <c r="AKJ85" s="268"/>
      <c r="AKK85" s="267"/>
      <c r="AKL85" s="268"/>
      <c r="AKM85" s="267"/>
      <c r="AKN85" s="268"/>
      <c r="AKO85" s="267"/>
      <c r="AKP85" s="268"/>
      <c r="AKQ85" s="267"/>
      <c r="AKR85" s="268"/>
      <c r="AKS85" s="267"/>
      <c r="AKT85" s="268"/>
      <c r="AKU85" s="267"/>
      <c r="AKV85" s="268"/>
      <c r="AKW85" s="267"/>
      <c r="AKX85" s="268"/>
      <c r="AKY85" s="267"/>
      <c r="AKZ85" s="268"/>
      <c r="ALA85" s="267"/>
      <c r="ALB85" s="268"/>
      <c r="ALC85" s="267"/>
      <c r="ALD85" s="268"/>
      <c r="ALE85" s="267"/>
      <c r="ALF85" s="268"/>
      <c r="ALG85" s="267"/>
      <c r="ALH85" s="268"/>
      <c r="ALI85" s="267"/>
      <c r="ALJ85" s="268"/>
      <c r="ALK85" s="267"/>
      <c r="ALL85" s="268"/>
      <c r="ALM85" s="267"/>
      <c r="ALN85" s="268"/>
      <c r="ALO85" s="267"/>
      <c r="ALP85" s="268"/>
      <c r="ALQ85" s="267"/>
      <c r="ALR85" s="268"/>
      <c r="ALS85" s="267"/>
      <c r="ALT85" s="268"/>
      <c r="ALU85" s="267"/>
      <c r="ALV85" s="268"/>
      <c r="ALW85" s="267"/>
      <c r="ALX85" s="268"/>
      <c r="ALY85" s="267"/>
      <c r="ALZ85" s="268"/>
      <c r="AMA85" s="267"/>
      <c r="AMB85" s="268"/>
      <c r="AMC85" s="267"/>
      <c r="AMD85" s="268"/>
      <c r="AME85" s="267"/>
      <c r="AMF85" s="268"/>
      <c r="AMG85" s="267"/>
      <c r="AMH85" s="268"/>
      <c r="AMI85" s="267"/>
      <c r="AMJ85" s="268"/>
      <c r="AMK85" s="267"/>
      <c r="AML85" s="268"/>
      <c r="AMM85" s="267"/>
      <c r="AMN85" s="268"/>
      <c r="AMO85" s="267"/>
      <c r="AMP85" s="268"/>
      <c r="AMQ85" s="267"/>
      <c r="AMR85" s="268"/>
      <c r="AMS85" s="267"/>
      <c r="AMT85" s="268"/>
      <c r="AMU85" s="267"/>
      <c r="AMV85" s="268"/>
      <c r="AMW85" s="267"/>
      <c r="AMX85" s="268"/>
      <c r="AMY85" s="267"/>
      <c r="AMZ85" s="268"/>
      <c r="ANA85" s="267"/>
      <c r="ANB85" s="268"/>
      <c r="ANC85" s="267"/>
      <c r="AND85" s="268"/>
      <c r="ANE85" s="267"/>
      <c r="ANF85" s="268"/>
      <c r="ANG85" s="267"/>
      <c r="ANH85" s="268"/>
      <c r="ANI85" s="267"/>
      <c r="ANJ85" s="268"/>
      <c r="ANK85" s="267"/>
      <c r="ANL85" s="268"/>
      <c r="ANM85" s="267"/>
      <c r="ANN85" s="268"/>
      <c r="ANO85" s="267"/>
      <c r="ANP85" s="268"/>
      <c r="ANQ85" s="267"/>
      <c r="ANR85" s="268"/>
      <c r="ANS85" s="267"/>
      <c r="ANT85" s="268"/>
      <c r="ANU85" s="267"/>
      <c r="ANV85" s="268"/>
      <c r="ANW85" s="267"/>
      <c r="ANX85" s="268"/>
      <c r="ANY85" s="267"/>
      <c r="ANZ85" s="268"/>
      <c r="AOA85" s="267"/>
      <c r="AOB85" s="268"/>
      <c r="AOC85" s="267"/>
      <c r="AOD85" s="268"/>
      <c r="AOE85" s="267"/>
      <c r="AOF85" s="268"/>
      <c r="AOG85" s="267"/>
      <c r="AOH85" s="268"/>
      <c r="AOI85" s="267"/>
      <c r="AOJ85" s="268"/>
      <c r="AOK85" s="267"/>
      <c r="AOL85" s="268"/>
      <c r="AOM85" s="267"/>
      <c r="AON85" s="268"/>
      <c r="AOO85" s="267"/>
      <c r="AOP85" s="268"/>
      <c r="AOQ85" s="267"/>
      <c r="AOR85" s="268"/>
      <c r="AOS85" s="267"/>
      <c r="AOT85" s="268"/>
      <c r="AOU85" s="267"/>
      <c r="AOV85" s="268"/>
      <c r="AOW85" s="267"/>
      <c r="AOX85" s="268"/>
      <c r="AOY85" s="267"/>
      <c r="AOZ85" s="268"/>
      <c r="APA85" s="267"/>
      <c r="APB85" s="268"/>
      <c r="APC85" s="267"/>
      <c r="APD85" s="268"/>
      <c r="APE85" s="267"/>
      <c r="APF85" s="268"/>
      <c r="APG85" s="267"/>
      <c r="APH85" s="268"/>
      <c r="API85" s="267"/>
      <c r="APJ85" s="268"/>
      <c r="APK85" s="267"/>
      <c r="APL85" s="268"/>
      <c r="APM85" s="267"/>
      <c r="APN85" s="268"/>
      <c r="APO85" s="267"/>
      <c r="APP85" s="268"/>
      <c r="APQ85" s="267"/>
      <c r="APR85" s="268"/>
      <c r="APS85" s="267"/>
      <c r="APT85" s="268"/>
      <c r="APU85" s="267"/>
      <c r="APV85" s="268"/>
      <c r="APW85" s="267"/>
      <c r="APX85" s="268"/>
      <c r="APY85" s="267"/>
      <c r="APZ85" s="268"/>
      <c r="AQA85" s="267"/>
      <c r="AQB85" s="268"/>
      <c r="AQC85" s="267"/>
      <c r="AQD85" s="268"/>
      <c r="AQE85" s="267"/>
      <c r="AQF85" s="268"/>
      <c r="AQG85" s="267"/>
      <c r="AQH85" s="268"/>
      <c r="AQI85" s="267"/>
      <c r="AQJ85" s="268"/>
      <c r="AQK85" s="267"/>
      <c r="AQL85" s="268"/>
      <c r="AQM85" s="267"/>
      <c r="AQN85" s="268"/>
      <c r="AQO85" s="267"/>
      <c r="AQP85" s="268"/>
      <c r="AQQ85" s="267"/>
      <c r="AQR85" s="268"/>
      <c r="AQS85" s="267"/>
      <c r="AQT85" s="268"/>
      <c r="AQU85" s="267"/>
      <c r="AQV85" s="268"/>
      <c r="AQW85" s="267"/>
      <c r="AQX85" s="268"/>
      <c r="AQY85" s="267"/>
      <c r="AQZ85" s="268"/>
      <c r="ARA85" s="267"/>
      <c r="ARB85" s="268"/>
      <c r="ARC85" s="267"/>
      <c r="ARD85" s="268"/>
      <c r="ARE85" s="267"/>
      <c r="ARF85" s="268"/>
      <c r="ARG85" s="267"/>
      <c r="ARH85" s="268"/>
      <c r="ARI85" s="267"/>
      <c r="ARJ85" s="268"/>
      <c r="ARK85" s="267"/>
      <c r="ARL85" s="268"/>
      <c r="ARM85" s="267"/>
      <c r="ARN85" s="268"/>
      <c r="ARO85" s="267"/>
      <c r="ARP85" s="268"/>
      <c r="ARQ85" s="267"/>
      <c r="ARR85" s="268"/>
      <c r="ARS85" s="267"/>
      <c r="ART85" s="268"/>
      <c r="ARU85" s="267"/>
      <c r="ARV85" s="268"/>
      <c r="ARW85" s="267"/>
      <c r="ARX85" s="268"/>
      <c r="ARY85" s="267"/>
      <c r="ARZ85" s="268"/>
      <c r="ASA85" s="267"/>
      <c r="ASB85" s="268"/>
      <c r="ASC85" s="267"/>
      <c r="ASD85" s="268"/>
      <c r="ASE85" s="267"/>
      <c r="ASF85" s="268"/>
      <c r="ASG85" s="267"/>
      <c r="ASH85" s="268"/>
      <c r="ASI85" s="267"/>
      <c r="ASJ85" s="268"/>
      <c r="ASK85" s="267"/>
      <c r="ASL85" s="268"/>
      <c r="ASM85" s="267"/>
      <c r="ASN85" s="268"/>
      <c r="ASO85" s="267"/>
      <c r="ASP85" s="268"/>
      <c r="ASQ85" s="267"/>
      <c r="ASR85" s="268"/>
      <c r="ASS85" s="267"/>
      <c r="AST85" s="268"/>
      <c r="ASU85" s="267"/>
      <c r="ASV85" s="268"/>
      <c r="ASW85" s="267"/>
      <c r="ASX85" s="268"/>
      <c r="ASY85" s="267"/>
      <c r="ASZ85" s="268"/>
      <c r="ATA85" s="267"/>
      <c r="ATB85" s="268"/>
      <c r="ATC85" s="267"/>
      <c r="ATD85" s="268"/>
      <c r="ATE85" s="267"/>
      <c r="ATF85" s="268"/>
      <c r="ATG85" s="267"/>
      <c r="ATH85" s="268"/>
      <c r="ATI85" s="267"/>
      <c r="ATJ85" s="268"/>
      <c r="ATK85" s="267"/>
      <c r="ATL85" s="268"/>
      <c r="ATM85" s="267"/>
      <c r="ATN85" s="268"/>
      <c r="ATO85" s="267"/>
      <c r="ATP85" s="268"/>
      <c r="ATQ85" s="267"/>
      <c r="ATR85" s="268"/>
      <c r="ATS85" s="267"/>
      <c r="ATT85" s="268"/>
      <c r="ATU85" s="267"/>
      <c r="ATV85" s="268"/>
      <c r="ATW85" s="267"/>
      <c r="ATX85" s="268"/>
      <c r="ATY85" s="267"/>
      <c r="ATZ85" s="268"/>
      <c r="AUA85" s="267"/>
      <c r="AUB85" s="268"/>
      <c r="AUC85" s="267"/>
      <c r="AUD85" s="268"/>
      <c r="AUE85" s="267"/>
      <c r="AUF85" s="268"/>
      <c r="AUG85" s="267"/>
      <c r="AUH85" s="268"/>
      <c r="AUI85" s="267"/>
      <c r="AUJ85" s="268"/>
      <c r="AUK85" s="267"/>
      <c r="AUL85" s="268"/>
      <c r="AUM85" s="267"/>
      <c r="AUN85" s="268"/>
      <c r="AUO85" s="267"/>
      <c r="AUP85" s="268"/>
      <c r="AUQ85" s="267"/>
      <c r="AUR85" s="268"/>
      <c r="AUS85" s="267"/>
      <c r="AUT85" s="268"/>
      <c r="AUU85" s="267"/>
      <c r="AUV85" s="268"/>
      <c r="AUW85" s="267"/>
      <c r="AUX85" s="268"/>
      <c r="AUY85" s="267"/>
      <c r="AUZ85" s="268"/>
      <c r="AVA85" s="267"/>
      <c r="AVB85" s="268"/>
      <c r="AVC85" s="267"/>
      <c r="AVD85" s="268"/>
      <c r="AVE85" s="267"/>
      <c r="AVF85" s="268"/>
      <c r="AVG85" s="267"/>
      <c r="AVH85" s="268"/>
      <c r="AVI85" s="267"/>
      <c r="AVJ85" s="268"/>
      <c r="AVK85" s="267"/>
      <c r="AVL85" s="268"/>
      <c r="AVM85" s="267"/>
      <c r="AVN85" s="268"/>
      <c r="AVO85" s="267"/>
      <c r="AVP85" s="268"/>
      <c r="AVQ85" s="267"/>
      <c r="AVR85" s="268"/>
      <c r="AVS85" s="267"/>
      <c r="AVT85" s="268"/>
      <c r="AVU85" s="267"/>
      <c r="AVV85" s="268"/>
      <c r="AVW85" s="267"/>
      <c r="AVX85" s="268"/>
      <c r="AVY85" s="267"/>
      <c r="AVZ85" s="268"/>
      <c r="AWA85" s="267"/>
      <c r="AWB85" s="268"/>
      <c r="AWC85" s="267"/>
      <c r="AWD85" s="268"/>
      <c r="AWE85" s="267"/>
      <c r="AWF85" s="268"/>
      <c r="AWG85" s="267"/>
      <c r="AWH85" s="268"/>
      <c r="AWI85" s="267"/>
      <c r="AWJ85" s="268"/>
      <c r="AWK85" s="267"/>
      <c r="AWL85" s="268"/>
      <c r="AWM85" s="267"/>
      <c r="AWN85" s="268"/>
      <c r="AWO85" s="267"/>
      <c r="AWP85" s="268"/>
      <c r="AWQ85" s="267"/>
      <c r="AWR85" s="268"/>
      <c r="AWS85" s="267"/>
      <c r="AWT85" s="268"/>
      <c r="AWU85" s="267"/>
      <c r="AWV85" s="268"/>
      <c r="AWW85" s="267"/>
      <c r="AWX85" s="268"/>
      <c r="AWY85" s="267"/>
      <c r="AWZ85" s="268"/>
      <c r="AXA85" s="267"/>
      <c r="AXB85" s="268"/>
      <c r="AXC85" s="267"/>
      <c r="AXD85" s="268"/>
      <c r="AXE85" s="267"/>
      <c r="AXF85" s="268"/>
      <c r="AXG85" s="267"/>
      <c r="AXH85" s="268"/>
      <c r="AXI85" s="267"/>
      <c r="AXJ85" s="268"/>
      <c r="AXK85" s="267"/>
      <c r="AXL85" s="268"/>
      <c r="AXM85" s="267"/>
      <c r="AXN85" s="268"/>
      <c r="AXO85" s="267"/>
      <c r="AXP85" s="268"/>
      <c r="AXQ85" s="267"/>
      <c r="AXR85" s="268"/>
      <c r="AXS85" s="267"/>
      <c r="AXT85" s="268"/>
      <c r="AXU85" s="267"/>
      <c r="AXV85" s="268"/>
      <c r="AXW85" s="267"/>
      <c r="AXX85" s="268"/>
      <c r="AXY85" s="267"/>
      <c r="AXZ85" s="268"/>
      <c r="AYA85" s="267"/>
      <c r="AYB85" s="268"/>
      <c r="AYC85" s="267"/>
      <c r="AYD85" s="268"/>
      <c r="AYE85" s="267"/>
      <c r="AYF85" s="268"/>
      <c r="AYG85" s="267"/>
      <c r="AYH85" s="268"/>
      <c r="AYI85" s="267"/>
      <c r="AYJ85" s="268"/>
      <c r="AYK85" s="267"/>
      <c r="AYL85" s="268"/>
      <c r="AYM85" s="267"/>
      <c r="AYN85" s="268"/>
      <c r="AYO85" s="267"/>
      <c r="AYP85" s="268"/>
      <c r="AYQ85" s="267"/>
      <c r="AYR85" s="268"/>
      <c r="AYS85" s="267"/>
      <c r="AYT85" s="268"/>
      <c r="AYU85" s="267"/>
      <c r="AYV85" s="268"/>
      <c r="AYW85" s="267"/>
      <c r="AYX85" s="268"/>
      <c r="AYY85" s="267"/>
      <c r="AYZ85" s="268"/>
      <c r="AZA85" s="267"/>
      <c r="AZB85" s="268"/>
      <c r="AZC85" s="267"/>
      <c r="AZD85" s="268"/>
      <c r="AZE85" s="267"/>
      <c r="AZF85" s="268"/>
      <c r="AZG85" s="267"/>
      <c r="AZH85" s="268"/>
      <c r="AZI85" s="267"/>
      <c r="AZJ85" s="268"/>
      <c r="AZK85" s="267"/>
      <c r="AZL85" s="268"/>
      <c r="AZM85" s="267"/>
      <c r="AZN85" s="268"/>
      <c r="AZO85" s="267"/>
      <c r="AZP85" s="268"/>
      <c r="AZQ85" s="267"/>
      <c r="AZR85" s="268"/>
      <c r="AZS85" s="267"/>
      <c r="AZT85" s="268"/>
      <c r="AZU85" s="267"/>
      <c r="AZV85" s="268"/>
      <c r="AZW85" s="267"/>
      <c r="AZX85" s="268"/>
      <c r="AZY85" s="267"/>
      <c r="AZZ85" s="268"/>
      <c r="BAA85" s="267"/>
      <c r="BAB85" s="268"/>
      <c r="BAC85" s="267"/>
      <c r="BAD85" s="268"/>
      <c r="BAE85" s="267"/>
      <c r="BAF85" s="268"/>
      <c r="BAG85" s="267"/>
      <c r="BAH85" s="268"/>
      <c r="BAI85" s="267"/>
      <c r="BAJ85" s="268"/>
      <c r="BAK85" s="267"/>
      <c r="BAL85" s="268"/>
      <c r="BAM85" s="267"/>
      <c r="BAN85" s="268"/>
      <c r="BAO85" s="267"/>
      <c r="BAP85" s="268"/>
      <c r="BAQ85" s="267"/>
      <c r="BAR85" s="268"/>
      <c r="BAS85" s="267"/>
      <c r="BAT85" s="268"/>
      <c r="BAU85" s="267"/>
      <c r="BAV85" s="268"/>
      <c r="BAW85" s="267"/>
      <c r="BAX85" s="268"/>
      <c r="BAY85" s="267"/>
      <c r="BAZ85" s="268"/>
      <c r="BBA85" s="267"/>
      <c r="BBB85" s="268"/>
      <c r="BBC85" s="267"/>
      <c r="BBD85" s="268"/>
      <c r="BBE85" s="267"/>
      <c r="BBF85" s="268"/>
      <c r="BBG85" s="267"/>
      <c r="BBH85" s="268"/>
      <c r="BBI85" s="267"/>
      <c r="BBJ85" s="268"/>
      <c r="BBK85" s="267"/>
      <c r="BBL85" s="268"/>
      <c r="BBM85" s="267"/>
      <c r="BBN85" s="268"/>
      <c r="BBO85" s="267"/>
      <c r="BBP85" s="268"/>
      <c r="BBQ85" s="267"/>
      <c r="BBR85" s="268"/>
      <c r="BBS85" s="267"/>
      <c r="BBT85" s="268"/>
      <c r="BBU85" s="267"/>
      <c r="BBV85" s="268"/>
      <c r="BBW85" s="267"/>
      <c r="BBX85" s="268"/>
      <c r="BBY85" s="267"/>
      <c r="BBZ85" s="268"/>
      <c r="BCA85" s="267"/>
      <c r="BCB85" s="268"/>
      <c r="BCC85" s="267"/>
      <c r="BCD85" s="268"/>
      <c r="BCE85" s="267"/>
      <c r="BCF85" s="268"/>
      <c r="BCG85" s="267"/>
      <c r="BCH85" s="268"/>
      <c r="BCI85" s="267"/>
      <c r="BCJ85" s="268"/>
      <c r="BCK85" s="267"/>
      <c r="BCL85" s="268"/>
      <c r="BCM85" s="267"/>
      <c r="BCN85" s="268"/>
      <c r="BCO85" s="267"/>
      <c r="BCP85" s="268"/>
      <c r="BCQ85" s="267"/>
      <c r="BCR85" s="268"/>
      <c r="BCS85" s="267"/>
      <c r="BCT85" s="268"/>
      <c r="BCU85" s="267"/>
      <c r="BCV85" s="268"/>
      <c r="BCW85" s="267"/>
      <c r="BCX85" s="268"/>
      <c r="BCY85" s="267"/>
      <c r="BCZ85" s="268"/>
      <c r="BDA85" s="267"/>
      <c r="BDB85" s="268"/>
      <c r="BDC85" s="267"/>
      <c r="BDD85" s="268"/>
      <c r="BDE85" s="267"/>
      <c r="BDF85" s="268"/>
      <c r="BDG85" s="267"/>
      <c r="BDH85" s="268"/>
      <c r="BDI85" s="267"/>
      <c r="BDJ85" s="268"/>
      <c r="BDK85" s="267"/>
      <c r="BDL85" s="268"/>
      <c r="BDM85" s="267"/>
      <c r="BDN85" s="268"/>
      <c r="BDO85" s="267"/>
      <c r="BDP85" s="268"/>
      <c r="BDQ85" s="267"/>
      <c r="BDR85" s="268"/>
      <c r="BDS85" s="267"/>
      <c r="BDT85" s="268"/>
      <c r="BDU85" s="267"/>
      <c r="BDV85" s="268"/>
      <c r="BDW85" s="267"/>
      <c r="BDX85" s="268"/>
      <c r="BDY85" s="267"/>
      <c r="BDZ85" s="268"/>
      <c r="BEA85" s="267"/>
      <c r="BEB85" s="268"/>
      <c r="BEC85" s="267"/>
      <c r="BED85" s="268"/>
      <c r="BEE85" s="267"/>
      <c r="BEF85" s="268"/>
      <c r="BEG85" s="267"/>
      <c r="BEH85" s="268"/>
      <c r="BEI85" s="267"/>
      <c r="BEJ85" s="268"/>
      <c r="BEK85" s="267"/>
      <c r="BEL85" s="268"/>
      <c r="BEM85" s="267"/>
      <c r="BEN85" s="268"/>
      <c r="BEO85" s="267"/>
      <c r="BEP85" s="268"/>
      <c r="BEQ85" s="267"/>
      <c r="BER85" s="268"/>
      <c r="BES85" s="267"/>
      <c r="BET85" s="268"/>
      <c r="BEU85" s="267"/>
      <c r="BEV85" s="268"/>
      <c r="BEW85" s="267"/>
      <c r="BEX85" s="268"/>
      <c r="BEY85" s="267"/>
      <c r="BEZ85" s="268"/>
      <c r="BFA85" s="267"/>
      <c r="BFB85" s="268"/>
      <c r="BFC85" s="267"/>
      <c r="BFD85" s="268"/>
      <c r="BFE85" s="267"/>
      <c r="BFF85" s="268"/>
      <c r="BFG85" s="267"/>
      <c r="BFH85" s="268"/>
      <c r="BFI85" s="267"/>
      <c r="BFJ85" s="268"/>
      <c r="BFK85" s="267"/>
      <c r="BFL85" s="268"/>
      <c r="BFM85" s="267"/>
      <c r="BFN85" s="268"/>
      <c r="BFO85" s="267"/>
      <c r="BFP85" s="268"/>
      <c r="BFQ85" s="267"/>
      <c r="BFR85" s="268"/>
      <c r="BFS85" s="267"/>
      <c r="BFT85" s="268"/>
      <c r="BFU85" s="267"/>
      <c r="BFV85" s="268"/>
      <c r="BFW85" s="267"/>
      <c r="BFX85" s="268"/>
      <c r="BFY85" s="267"/>
      <c r="BFZ85" s="268"/>
      <c r="BGA85" s="267"/>
      <c r="BGB85" s="268"/>
      <c r="BGC85" s="267"/>
      <c r="BGD85" s="268"/>
      <c r="BGE85" s="267"/>
      <c r="BGF85" s="268"/>
      <c r="BGG85" s="267"/>
      <c r="BGH85" s="268"/>
      <c r="BGI85" s="267"/>
      <c r="BGJ85" s="268"/>
      <c r="BGK85" s="267"/>
      <c r="BGL85" s="268"/>
      <c r="BGM85" s="267"/>
      <c r="BGN85" s="268"/>
      <c r="BGO85" s="267"/>
      <c r="BGP85" s="268"/>
      <c r="BGQ85" s="267"/>
      <c r="BGR85" s="268"/>
      <c r="BGS85" s="267"/>
      <c r="BGT85" s="268"/>
      <c r="BGU85" s="267"/>
      <c r="BGV85" s="268"/>
      <c r="BGW85" s="267"/>
      <c r="BGX85" s="268"/>
      <c r="BGY85" s="267"/>
      <c r="BGZ85" s="268"/>
      <c r="BHA85" s="267"/>
      <c r="BHB85" s="268"/>
      <c r="BHC85" s="267"/>
      <c r="BHD85" s="268"/>
      <c r="BHE85" s="267"/>
      <c r="BHF85" s="268"/>
      <c r="BHG85" s="267"/>
      <c r="BHH85" s="268"/>
      <c r="BHI85" s="267"/>
      <c r="BHJ85" s="268"/>
      <c r="BHK85" s="267"/>
      <c r="BHL85" s="268"/>
      <c r="BHM85" s="267"/>
      <c r="BHN85" s="268"/>
      <c r="BHO85" s="267"/>
      <c r="BHP85" s="268"/>
      <c r="BHQ85" s="267"/>
      <c r="BHR85" s="268"/>
      <c r="BHS85" s="267"/>
      <c r="BHT85" s="268"/>
      <c r="BHU85" s="267"/>
      <c r="BHV85" s="268"/>
      <c r="BHW85" s="267"/>
      <c r="BHX85" s="268"/>
      <c r="BHY85" s="267"/>
      <c r="BHZ85" s="268"/>
      <c r="BIA85" s="267"/>
      <c r="BIB85" s="268"/>
      <c r="BIC85" s="267"/>
      <c r="BID85" s="268"/>
      <c r="BIE85" s="267"/>
      <c r="BIF85" s="268"/>
      <c r="BIG85" s="267"/>
      <c r="BIH85" s="268"/>
      <c r="BII85" s="267"/>
      <c r="BIJ85" s="268"/>
      <c r="BIK85" s="267"/>
      <c r="BIL85" s="268"/>
      <c r="BIM85" s="267"/>
      <c r="BIN85" s="268"/>
      <c r="BIO85" s="267"/>
      <c r="BIP85" s="268"/>
      <c r="BIQ85" s="267"/>
      <c r="BIR85" s="268"/>
      <c r="BIS85" s="267"/>
      <c r="BIT85" s="268"/>
      <c r="BIU85" s="267"/>
      <c r="BIV85" s="268"/>
      <c r="BIW85" s="267"/>
      <c r="BIX85" s="268"/>
      <c r="BIY85" s="267"/>
      <c r="BIZ85" s="268"/>
      <c r="BJA85" s="267"/>
      <c r="BJB85" s="268"/>
      <c r="BJC85" s="267"/>
      <c r="BJD85" s="268"/>
      <c r="BJE85" s="267"/>
      <c r="BJF85" s="268"/>
      <c r="BJG85" s="267"/>
      <c r="BJH85" s="268"/>
      <c r="BJI85" s="267"/>
      <c r="BJJ85" s="268"/>
      <c r="BJK85" s="267"/>
      <c r="BJL85" s="268"/>
      <c r="BJM85" s="267"/>
      <c r="BJN85" s="268"/>
      <c r="BJO85" s="267"/>
      <c r="BJP85" s="268"/>
      <c r="BJQ85" s="267"/>
      <c r="BJR85" s="268"/>
      <c r="BJS85" s="267"/>
      <c r="BJT85" s="268"/>
      <c r="BJU85" s="267"/>
      <c r="BJV85" s="268"/>
      <c r="BJW85" s="267"/>
      <c r="BJX85" s="268"/>
      <c r="BJY85" s="267"/>
      <c r="BJZ85" s="268"/>
      <c r="BKA85" s="267"/>
      <c r="BKB85" s="268"/>
      <c r="BKC85" s="267"/>
      <c r="BKD85" s="268"/>
      <c r="BKE85" s="267"/>
      <c r="BKF85" s="268"/>
      <c r="BKG85" s="267"/>
      <c r="BKH85" s="268"/>
      <c r="BKI85" s="267"/>
      <c r="BKJ85" s="268"/>
      <c r="BKK85" s="267"/>
      <c r="BKL85" s="268"/>
      <c r="BKM85" s="267"/>
      <c r="BKN85" s="268"/>
      <c r="BKO85" s="267"/>
      <c r="BKP85" s="268"/>
      <c r="BKQ85" s="267"/>
      <c r="BKR85" s="268"/>
      <c r="BKS85" s="267"/>
      <c r="BKT85" s="268"/>
      <c r="BKU85" s="267"/>
      <c r="BKV85" s="268"/>
      <c r="BKW85" s="267"/>
      <c r="BKX85" s="268"/>
      <c r="BKY85" s="267"/>
      <c r="BKZ85" s="268"/>
      <c r="BLA85" s="267"/>
      <c r="BLB85" s="268"/>
      <c r="BLC85" s="267"/>
      <c r="BLD85" s="268"/>
      <c r="BLE85" s="267"/>
      <c r="BLF85" s="268"/>
      <c r="BLG85" s="267"/>
      <c r="BLH85" s="268"/>
      <c r="BLI85" s="267"/>
      <c r="BLJ85" s="268"/>
      <c r="BLK85" s="267"/>
      <c r="BLL85" s="268"/>
      <c r="BLM85" s="267"/>
      <c r="BLN85" s="268"/>
      <c r="BLO85" s="267"/>
      <c r="BLP85" s="268"/>
      <c r="BLQ85" s="267"/>
      <c r="BLR85" s="268"/>
      <c r="BLS85" s="267"/>
      <c r="BLT85" s="268"/>
      <c r="BLU85" s="267"/>
      <c r="BLV85" s="268"/>
      <c r="BLW85" s="267"/>
      <c r="BLX85" s="268"/>
      <c r="BLY85" s="267"/>
      <c r="BLZ85" s="268"/>
      <c r="BMA85" s="267"/>
      <c r="BMB85" s="268"/>
      <c r="BMC85" s="267"/>
      <c r="BMD85" s="268"/>
      <c r="BME85" s="267"/>
      <c r="BMF85" s="268"/>
      <c r="BMG85" s="267"/>
      <c r="BMH85" s="268"/>
      <c r="BMI85" s="267"/>
      <c r="BMJ85" s="268"/>
      <c r="BMK85" s="267"/>
      <c r="BML85" s="268"/>
      <c r="BMM85" s="267"/>
      <c r="BMN85" s="268"/>
      <c r="BMO85" s="267"/>
      <c r="BMP85" s="268"/>
      <c r="BMQ85" s="267"/>
      <c r="BMR85" s="268"/>
      <c r="BMS85" s="267"/>
      <c r="BMT85" s="268"/>
      <c r="BMU85" s="267"/>
      <c r="BMV85" s="268"/>
      <c r="BMW85" s="267"/>
      <c r="BMX85" s="268"/>
      <c r="BMY85" s="267"/>
      <c r="BMZ85" s="268"/>
      <c r="BNA85" s="267"/>
      <c r="BNB85" s="268"/>
      <c r="BNC85" s="267"/>
      <c r="BND85" s="268"/>
      <c r="BNE85" s="267"/>
      <c r="BNF85" s="268"/>
      <c r="BNG85" s="267"/>
      <c r="BNH85" s="268"/>
      <c r="BNI85" s="267"/>
      <c r="BNJ85" s="268"/>
      <c r="BNK85" s="267"/>
      <c r="BNL85" s="268"/>
      <c r="BNM85" s="267"/>
      <c r="BNN85" s="268"/>
      <c r="BNO85" s="267"/>
      <c r="BNP85" s="268"/>
      <c r="BNQ85" s="267"/>
      <c r="BNR85" s="268"/>
      <c r="BNS85" s="267"/>
      <c r="BNT85" s="268"/>
      <c r="BNU85" s="267"/>
      <c r="BNV85" s="268"/>
      <c r="BNW85" s="267"/>
      <c r="BNX85" s="268"/>
      <c r="BNY85" s="267"/>
      <c r="BNZ85" s="268"/>
      <c r="BOA85" s="267"/>
      <c r="BOB85" s="268"/>
      <c r="BOC85" s="267"/>
      <c r="BOD85" s="268"/>
      <c r="BOE85" s="267"/>
      <c r="BOF85" s="268"/>
      <c r="BOG85" s="267"/>
      <c r="BOH85" s="268"/>
      <c r="BOI85" s="267"/>
      <c r="BOJ85" s="268"/>
      <c r="BOK85" s="267"/>
      <c r="BOL85" s="268"/>
      <c r="BOM85" s="267"/>
      <c r="BON85" s="268"/>
      <c r="BOO85" s="267"/>
      <c r="BOP85" s="268"/>
      <c r="BOQ85" s="267"/>
      <c r="BOR85" s="268"/>
      <c r="BOS85" s="267"/>
      <c r="BOT85" s="268"/>
      <c r="BOU85" s="267"/>
      <c r="BOV85" s="268"/>
      <c r="BOW85" s="267"/>
      <c r="BOX85" s="268"/>
      <c r="BOY85" s="267"/>
      <c r="BOZ85" s="268"/>
      <c r="BPA85" s="267"/>
      <c r="BPB85" s="268"/>
      <c r="BPC85" s="267"/>
      <c r="BPD85" s="268"/>
      <c r="BPE85" s="267"/>
      <c r="BPF85" s="268"/>
      <c r="BPG85" s="267"/>
      <c r="BPH85" s="268"/>
      <c r="BPI85" s="267"/>
      <c r="BPJ85" s="268"/>
      <c r="BPK85" s="267"/>
      <c r="BPL85" s="268"/>
      <c r="BPM85" s="267"/>
      <c r="BPN85" s="268"/>
      <c r="BPO85" s="267"/>
      <c r="BPP85" s="268"/>
      <c r="BPQ85" s="267"/>
      <c r="BPR85" s="268"/>
      <c r="BPS85" s="267"/>
      <c r="BPT85" s="268"/>
      <c r="BPU85" s="267"/>
      <c r="BPV85" s="268"/>
      <c r="BPW85" s="267"/>
      <c r="BPX85" s="268"/>
      <c r="BPY85" s="267"/>
      <c r="BPZ85" s="268"/>
      <c r="BQA85" s="267"/>
      <c r="BQB85" s="268"/>
      <c r="BQC85" s="267"/>
      <c r="BQD85" s="268"/>
      <c r="BQE85" s="267"/>
      <c r="BQF85" s="268"/>
      <c r="BQG85" s="267"/>
      <c r="BQH85" s="268"/>
      <c r="BQI85" s="267"/>
      <c r="BQJ85" s="268"/>
      <c r="BQK85" s="267"/>
      <c r="BQL85" s="268"/>
      <c r="BQM85" s="267"/>
      <c r="BQN85" s="268"/>
      <c r="BQO85" s="267"/>
      <c r="BQP85" s="268"/>
      <c r="BQQ85" s="267"/>
      <c r="BQR85" s="268"/>
      <c r="BQS85" s="267"/>
      <c r="BQT85" s="268"/>
      <c r="BQU85" s="267"/>
      <c r="BQV85" s="268"/>
      <c r="BQW85" s="267"/>
      <c r="BQX85" s="268"/>
      <c r="BQY85" s="267"/>
      <c r="BQZ85" s="268"/>
      <c r="BRA85" s="267"/>
      <c r="BRB85" s="268"/>
      <c r="BRC85" s="267"/>
      <c r="BRD85" s="268"/>
      <c r="BRE85" s="267"/>
      <c r="BRF85" s="268"/>
      <c r="BRG85" s="267"/>
      <c r="BRH85" s="268"/>
      <c r="BRI85" s="267"/>
      <c r="BRJ85" s="268"/>
      <c r="BRK85" s="267"/>
      <c r="BRL85" s="268"/>
      <c r="BRM85" s="267"/>
      <c r="BRN85" s="268"/>
      <c r="BRO85" s="267"/>
      <c r="BRP85" s="268"/>
      <c r="BRQ85" s="267"/>
      <c r="BRR85" s="268"/>
      <c r="BRS85" s="267"/>
      <c r="BRT85" s="268"/>
      <c r="BRU85" s="267"/>
      <c r="BRV85" s="268"/>
      <c r="BRW85" s="267"/>
      <c r="BRX85" s="268"/>
      <c r="BRY85" s="267"/>
      <c r="BRZ85" s="268"/>
      <c r="BSA85" s="267"/>
      <c r="BSB85" s="268"/>
      <c r="BSC85" s="267"/>
      <c r="BSD85" s="268"/>
      <c r="BSE85" s="267"/>
      <c r="BSF85" s="268"/>
      <c r="BSG85" s="267"/>
      <c r="BSH85" s="268"/>
      <c r="BSI85" s="267"/>
      <c r="BSJ85" s="268"/>
      <c r="BSK85" s="267"/>
      <c r="BSL85" s="268"/>
      <c r="BSM85" s="267"/>
      <c r="BSN85" s="268"/>
      <c r="BSO85" s="267"/>
      <c r="BSP85" s="268"/>
      <c r="BSQ85" s="267"/>
      <c r="BSR85" s="268"/>
      <c r="BSS85" s="267"/>
      <c r="BST85" s="268"/>
      <c r="BSU85" s="267"/>
      <c r="BSV85" s="268"/>
      <c r="BSW85" s="267"/>
      <c r="BSX85" s="268"/>
      <c r="BSY85" s="267"/>
      <c r="BSZ85" s="268"/>
      <c r="BTA85" s="267"/>
      <c r="BTB85" s="268"/>
      <c r="BTC85" s="267"/>
      <c r="BTD85" s="268"/>
      <c r="BTE85" s="267"/>
      <c r="BTF85" s="268"/>
      <c r="BTG85" s="267"/>
      <c r="BTH85" s="268"/>
      <c r="BTI85" s="267"/>
      <c r="BTJ85" s="268"/>
      <c r="BTK85" s="267"/>
      <c r="BTL85" s="268"/>
      <c r="BTM85" s="267"/>
      <c r="BTN85" s="268"/>
      <c r="BTO85" s="267"/>
      <c r="BTP85" s="268"/>
      <c r="BTQ85" s="267"/>
      <c r="BTR85" s="268"/>
      <c r="BTS85" s="267"/>
      <c r="BTT85" s="268"/>
      <c r="BTU85" s="267"/>
      <c r="BTV85" s="268"/>
      <c r="BTW85" s="267"/>
      <c r="BTX85" s="268"/>
      <c r="BTY85" s="267"/>
      <c r="BTZ85" s="268"/>
      <c r="BUA85" s="267"/>
      <c r="BUB85" s="268"/>
      <c r="BUC85" s="267"/>
      <c r="BUD85" s="268"/>
      <c r="BUE85" s="267"/>
      <c r="BUF85" s="268"/>
      <c r="BUG85" s="267"/>
      <c r="BUH85" s="268"/>
      <c r="BUI85" s="267"/>
      <c r="BUJ85" s="268"/>
      <c r="BUK85" s="267"/>
      <c r="BUL85" s="268"/>
      <c r="BUM85" s="267"/>
      <c r="BUN85" s="268"/>
      <c r="BUO85" s="267"/>
      <c r="BUP85" s="268"/>
      <c r="BUQ85" s="267"/>
      <c r="BUR85" s="268"/>
      <c r="BUS85" s="267"/>
      <c r="BUT85" s="268"/>
      <c r="BUU85" s="267"/>
      <c r="BUV85" s="268"/>
      <c r="BUW85" s="267"/>
      <c r="BUX85" s="268"/>
      <c r="BUY85" s="267"/>
      <c r="BUZ85" s="268"/>
      <c r="BVA85" s="267"/>
      <c r="BVB85" s="268"/>
      <c r="BVC85" s="267"/>
      <c r="BVD85" s="268"/>
      <c r="BVE85" s="267"/>
      <c r="BVF85" s="268"/>
      <c r="BVG85" s="267"/>
      <c r="BVH85" s="268"/>
      <c r="BVI85" s="267"/>
      <c r="BVJ85" s="268"/>
      <c r="BVK85" s="267"/>
      <c r="BVL85" s="268"/>
      <c r="BVM85" s="267"/>
      <c r="BVN85" s="268"/>
      <c r="BVO85" s="267"/>
      <c r="BVP85" s="268"/>
      <c r="BVQ85" s="267"/>
      <c r="BVR85" s="268"/>
      <c r="BVS85" s="267"/>
      <c r="BVT85" s="268"/>
      <c r="BVU85" s="267"/>
      <c r="BVV85" s="268"/>
      <c r="BVW85" s="267"/>
      <c r="BVX85" s="268"/>
      <c r="BVY85" s="267"/>
      <c r="BVZ85" s="268"/>
      <c r="BWA85" s="267"/>
      <c r="BWB85" s="268"/>
      <c r="BWC85" s="267"/>
      <c r="BWD85" s="268"/>
      <c r="BWE85" s="267"/>
      <c r="BWF85" s="268"/>
      <c r="BWG85" s="267"/>
      <c r="BWH85" s="268"/>
      <c r="BWI85" s="267"/>
      <c r="BWJ85" s="268"/>
      <c r="BWK85" s="267"/>
      <c r="BWL85" s="268"/>
      <c r="BWM85" s="267"/>
      <c r="BWN85" s="268"/>
      <c r="BWO85" s="267"/>
      <c r="BWP85" s="268"/>
      <c r="BWQ85" s="267"/>
      <c r="BWR85" s="268"/>
      <c r="BWS85" s="267"/>
      <c r="BWT85" s="268"/>
      <c r="BWU85" s="267"/>
      <c r="BWV85" s="268"/>
      <c r="BWW85" s="267"/>
      <c r="BWX85" s="268"/>
      <c r="BWY85" s="267"/>
      <c r="BWZ85" s="268"/>
      <c r="BXA85" s="267"/>
      <c r="BXB85" s="268"/>
      <c r="BXC85" s="267"/>
      <c r="BXD85" s="268"/>
      <c r="BXE85" s="267"/>
      <c r="BXF85" s="268"/>
      <c r="BXG85" s="267"/>
      <c r="BXH85" s="268"/>
      <c r="BXI85" s="267"/>
      <c r="BXJ85" s="268"/>
      <c r="BXK85" s="267"/>
      <c r="BXL85" s="268"/>
      <c r="BXM85" s="267"/>
      <c r="BXN85" s="268"/>
      <c r="BXO85" s="267"/>
      <c r="BXP85" s="268"/>
      <c r="BXQ85" s="267"/>
      <c r="BXR85" s="268"/>
      <c r="BXS85" s="267"/>
      <c r="BXT85" s="268"/>
      <c r="BXU85" s="267"/>
      <c r="BXV85" s="268"/>
      <c r="BXW85" s="267"/>
      <c r="BXX85" s="268"/>
      <c r="BXY85" s="267"/>
      <c r="BXZ85" s="268"/>
      <c r="BYA85" s="267"/>
      <c r="BYB85" s="268"/>
      <c r="BYC85" s="267"/>
      <c r="BYD85" s="268"/>
      <c r="BYE85" s="267"/>
      <c r="BYF85" s="268"/>
      <c r="BYG85" s="267"/>
      <c r="BYH85" s="268"/>
      <c r="BYI85" s="267"/>
      <c r="BYJ85" s="268"/>
      <c r="BYK85" s="267"/>
      <c r="BYL85" s="268"/>
      <c r="BYM85" s="267"/>
      <c r="BYN85" s="268"/>
      <c r="BYO85" s="267"/>
      <c r="BYP85" s="268"/>
      <c r="BYQ85" s="267"/>
      <c r="BYR85" s="268"/>
      <c r="BYS85" s="267"/>
      <c r="BYT85" s="268"/>
      <c r="BYU85" s="267"/>
      <c r="BYV85" s="268"/>
      <c r="BYW85" s="267"/>
      <c r="BYX85" s="268"/>
      <c r="BYY85" s="267"/>
      <c r="BYZ85" s="268"/>
      <c r="BZA85" s="267"/>
      <c r="BZB85" s="268"/>
      <c r="BZC85" s="267"/>
      <c r="BZD85" s="268"/>
      <c r="BZE85" s="267"/>
      <c r="BZF85" s="268"/>
      <c r="BZG85" s="267"/>
      <c r="BZH85" s="268"/>
      <c r="BZI85" s="267"/>
      <c r="BZJ85" s="268"/>
      <c r="BZK85" s="267"/>
      <c r="BZL85" s="268"/>
      <c r="BZM85" s="267"/>
      <c r="BZN85" s="268"/>
      <c r="BZO85" s="267"/>
      <c r="BZP85" s="268"/>
      <c r="BZQ85" s="267"/>
      <c r="BZR85" s="268"/>
      <c r="BZS85" s="267"/>
      <c r="BZT85" s="268"/>
      <c r="BZU85" s="267"/>
      <c r="BZV85" s="268"/>
      <c r="BZW85" s="267"/>
      <c r="BZX85" s="268"/>
      <c r="BZY85" s="267"/>
      <c r="BZZ85" s="268"/>
      <c r="CAA85" s="267"/>
      <c r="CAB85" s="268"/>
      <c r="CAC85" s="267"/>
      <c r="CAD85" s="268"/>
      <c r="CAE85" s="267"/>
      <c r="CAF85" s="268"/>
      <c r="CAG85" s="267"/>
      <c r="CAH85" s="268"/>
      <c r="CAI85" s="267"/>
      <c r="CAJ85" s="268"/>
      <c r="CAK85" s="267"/>
      <c r="CAL85" s="268"/>
      <c r="CAM85" s="267"/>
      <c r="CAN85" s="268"/>
      <c r="CAO85" s="267"/>
      <c r="CAP85" s="268"/>
      <c r="CAQ85" s="267"/>
      <c r="CAR85" s="268"/>
      <c r="CAS85" s="267"/>
      <c r="CAT85" s="268"/>
      <c r="CAU85" s="267"/>
      <c r="CAV85" s="268"/>
      <c r="CAW85" s="267"/>
      <c r="CAX85" s="268"/>
      <c r="CAY85" s="267"/>
      <c r="CAZ85" s="268"/>
      <c r="CBA85" s="267"/>
      <c r="CBB85" s="268"/>
      <c r="CBC85" s="267"/>
      <c r="CBD85" s="268"/>
      <c r="CBE85" s="267"/>
      <c r="CBF85" s="268"/>
      <c r="CBG85" s="267"/>
      <c r="CBH85" s="268"/>
      <c r="CBI85" s="267"/>
      <c r="CBJ85" s="268"/>
      <c r="CBK85" s="267"/>
      <c r="CBL85" s="268"/>
      <c r="CBM85" s="267"/>
      <c r="CBN85" s="268"/>
      <c r="CBO85" s="267"/>
      <c r="CBP85" s="268"/>
      <c r="CBQ85" s="267"/>
      <c r="CBR85" s="268"/>
      <c r="CBS85" s="267"/>
      <c r="CBT85" s="268"/>
      <c r="CBU85" s="267"/>
      <c r="CBV85" s="268"/>
      <c r="CBW85" s="267"/>
      <c r="CBX85" s="268"/>
      <c r="CBY85" s="267"/>
      <c r="CBZ85" s="268"/>
      <c r="CCA85" s="267"/>
      <c r="CCB85" s="268"/>
      <c r="CCC85" s="267"/>
      <c r="CCD85" s="268"/>
      <c r="CCE85" s="267"/>
      <c r="CCF85" s="268"/>
      <c r="CCG85" s="267"/>
      <c r="CCH85" s="268"/>
      <c r="CCI85" s="267"/>
      <c r="CCJ85" s="268"/>
      <c r="CCK85" s="267"/>
      <c r="CCL85" s="268"/>
      <c r="CCM85" s="267"/>
      <c r="CCN85" s="268"/>
      <c r="CCO85" s="267"/>
      <c r="CCP85" s="268"/>
      <c r="CCQ85" s="267"/>
      <c r="CCR85" s="268"/>
      <c r="CCS85" s="267"/>
      <c r="CCT85" s="268"/>
      <c r="CCU85" s="267"/>
      <c r="CCV85" s="268"/>
      <c r="CCW85" s="267"/>
      <c r="CCX85" s="268"/>
      <c r="CCY85" s="267"/>
      <c r="CCZ85" s="268"/>
      <c r="CDA85" s="267"/>
      <c r="CDB85" s="268"/>
      <c r="CDC85" s="267"/>
      <c r="CDD85" s="268"/>
      <c r="CDE85" s="267"/>
      <c r="CDF85" s="268"/>
      <c r="CDG85" s="267"/>
      <c r="CDH85" s="268"/>
      <c r="CDI85" s="267"/>
      <c r="CDJ85" s="268"/>
      <c r="CDK85" s="267"/>
      <c r="CDL85" s="268"/>
      <c r="CDM85" s="267"/>
      <c r="CDN85" s="268"/>
      <c r="CDO85" s="267"/>
      <c r="CDP85" s="268"/>
      <c r="CDQ85" s="267"/>
      <c r="CDR85" s="268"/>
      <c r="CDS85" s="267"/>
      <c r="CDT85" s="268"/>
      <c r="CDU85" s="267"/>
      <c r="CDV85" s="268"/>
      <c r="CDW85" s="267"/>
      <c r="CDX85" s="268"/>
      <c r="CDY85" s="267"/>
      <c r="CDZ85" s="268"/>
      <c r="CEA85" s="267"/>
      <c r="CEB85" s="268"/>
      <c r="CEC85" s="267"/>
      <c r="CED85" s="268"/>
      <c r="CEE85" s="267"/>
      <c r="CEF85" s="268"/>
      <c r="CEG85" s="267"/>
      <c r="CEH85" s="268"/>
      <c r="CEI85" s="267"/>
      <c r="CEJ85" s="268"/>
      <c r="CEK85" s="267"/>
      <c r="CEL85" s="268"/>
      <c r="CEM85" s="267"/>
      <c r="CEN85" s="268"/>
      <c r="CEO85" s="267"/>
      <c r="CEP85" s="268"/>
      <c r="CEQ85" s="267"/>
      <c r="CER85" s="268"/>
      <c r="CES85" s="267"/>
      <c r="CET85" s="268"/>
      <c r="CEU85" s="267"/>
      <c r="CEV85" s="268"/>
      <c r="CEW85" s="267"/>
      <c r="CEX85" s="268"/>
      <c r="CEY85" s="267"/>
      <c r="CEZ85" s="268"/>
      <c r="CFA85" s="267"/>
      <c r="CFB85" s="268"/>
      <c r="CFC85" s="267"/>
      <c r="CFD85" s="268"/>
      <c r="CFE85" s="267"/>
      <c r="CFF85" s="268"/>
      <c r="CFG85" s="267"/>
      <c r="CFH85" s="268"/>
      <c r="CFI85" s="267"/>
      <c r="CFJ85" s="268"/>
      <c r="CFK85" s="267"/>
      <c r="CFL85" s="268"/>
      <c r="CFM85" s="267"/>
      <c r="CFN85" s="268"/>
      <c r="CFO85" s="267"/>
      <c r="CFP85" s="268"/>
      <c r="CFQ85" s="267"/>
      <c r="CFR85" s="268"/>
      <c r="CFS85" s="267"/>
      <c r="CFT85" s="268"/>
      <c r="CFU85" s="267"/>
      <c r="CFV85" s="268"/>
      <c r="CFW85" s="267"/>
      <c r="CFX85" s="268"/>
      <c r="CFY85" s="267"/>
      <c r="CFZ85" s="268"/>
      <c r="CGA85" s="267"/>
      <c r="CGB85" s="268"/>
      <c r="CGC85" s="267"/>
      <c r="CGD85" s="268"/>
      <c r="CGE85" s="267"/>
      <c r="CGF85" s="268"/>
      <c r="CGG85" s="267"/>
      <c r="CGH85" s="268"/>
      <c r="CGI85" s="267"/>
      <c r="CGJ85" s="268"/>
      <c r="CGK85" s="267"/>
      <c r="CGL85" s="268"/>
      <c r="CGM85" s="267"/>
      <c r="CGN85" s="268"/>
      <c r="CGO85" s="267"/>
      <c r="CGP85" s="268"/>
      <c r="CGQ85" s="267"/>
      <c r="CGR85" s="268"/>
      <c r="CGS85" s="267"/>
      <c r="CGT85" s="268"/>
      <c r="CGU85" s="267"/>
      <c r="CGV85" s="268"/>
      <c r="CGW85" s="267"/>
      <c r="CGX85" s="268"/>
      <c r="CGY85" s="267"/>
      <c r="CGZ85" s="268"/>
      <c r="CHA85" s="267"/>
      <c r="CHB85" s="268"/>
      <c r="CHC85" s="267"/>
      <c r="CHD85" s="268"/>
      <c r="CHE85" s="267"/>
      <c r="CHF85" s="268"/>
      <c r="CHG85" s="267"/>
      <c r="CHH85" s="268"/>
      <c r="CHI85" s="267"/>
      <c r="CHJ85" s="268"/>
      <c r="CHK85" s="267"/>
      <c r="CHL85" s="268"/>
      <c r="CHM85" s="267"/>
      <c r="CHN85" s="268"/>
      <c r="CHO85" s="267"/>
      <c r="CHP85" s="268"/>
      <c r="CHQ85" s="267"/>
      <c r="CHR85" s="268"/>
      <c r="CHS85" s="267"/>
      <c r="CHT85" s="268"/>
      <c r="CHU85" s="267"/>
      <c r="CHV85" s="268"/>
      <c r="CHW85" s="267"/>
      <c r="CHX85" s="268"/>
      <c r="CHY85" s="267"/>
      <c r="CHZ85" s="268"/>
      <c r="CIA85" s="267"/>
      <c r="CIB85" s="268"/>
      <c r="CIC85" s="267"/>
      <c r="CID85" s="268"/>
      <c r="CIE85" s="267"/>
      <c r="CIF85" s="268"/>
      <c r="CIG85" s="267"/>
      <c r="CIH85" s="268"/>
      <c r="CII85" s="267"/>
      <c r="CIJ85" s="268"/>
      <c r="CIK85" s="267"/>
      <c r="CIL85" s="268"/>
      <c r="CIM85" s="267"/>
      <c r="CIN85" s="268"/>
      <c r="CIO85" s="267"/>
      <c r="CIP85" s="268"/>
      <c r="CIQ85" s="267"/>
      <c r="CIR85" s="268"/>
      <c r="CIS85" s="267"/>
      <c r="CIT85" s="268"/>
      <c r="CIU85" s="267"/>
      <c r="CIV85" s="268"/>
      <c r="CIW85" s="267"/>
      <c r="CIX85" s="268"/>
      <c r="CIY85" s="267"/>
      <c r="CIZ85" s="268"/>
      <c r="CJA85" s="267"/>
      <c r="CJB85" s="268"/>
      <c r="CJC85" s="267"/>
      <c r="CJD85" s="268"/>
      <c r="CJE85" s="267"/>
      <c r="CJF85" s="268"/>
      <c r="CJG85" s="267"/>
      <c r="CJH85" s="268"/>
      <c r="CJI85" s="267"/>
      <c r="CJJ85" s="268"/>
      <c r="CJK85" s="267"/>
      <c r="CJL85" s="268"/>
      <c r="CJM85" s="267"/>
      <c r="CJN85" s="268"/>
      <c r="CJO85" s="267"/>
      <c r="CJP85" s="268"/>
      <c r="CJQ85" s="267"/>
      <c r="CJR85" s="268"/>
      <c r="CJS85" s="267"/>
      <c r="CJT85" s="268"/>
      <c r="CJU85" s="267"/>
      <c r="CJV85" s="268"/>
      <c r="CJW85" s="267"/>
      <c r="CJX85" s="268"/>
      <c r="CJY85" s="267"/>
      <c r="CJZ85" s="268"/>
      <c r="CKA85" s="267"/>
      <c r="CKB85" s="268"/>
      <c r="CKC85" s="267"/>
      <c r="CKD85" s="268"/>
      <c r="CKE85" s="267"/>
      <c r="CKF85" s="268"/>
      <c r="CKG85" s="267"/>
      <c r="CKH85" s="268"/>
      <c r="CKI85" s="267"/>
      <c r="CKJ85" s="268"/>
      <c r="CKK85" s="267"/>
      <c r="CKL85" s="268"/>
      <c r="CKM85" s="267"/>
      <c r="CKN85" s="268"/>
      <c r="CKO85" s="267"/>
      <c r="CKP85" s="268"/>
      <c r="CKQ85" s="267"/>
      <c r="CKR85" s="268"/>
      <c r="CKS85" s="267"/>
      <c r="CKT85" s="268"/>
      <c r="CKU85" s="267"/>
      <c r="CKV85" s="268"/>
      <c r="CKW85" s="267"/>
      <c r="CKX85" s="268"/>
      <c r="CKY85" s="267"/>
      <c r="CKZ85" s="268"/>
      <c r="CLA85" s="267"/>
      <c r="CLB85" s="268"/>
      <c r="CLC85" s="267"/>
      <c r="CLD85" s="268"/>
      <c r="CLE85" s="267"/>
      <c r="CLF85" s="268"/>
      <c r="CLG85" s="267"/>
      <c r="CLH85" s="268"/>
      <c r="CLI85" s="267"/>
      <c r="CLJ85" s="268"/>
      <c r="CLK85" s="267"/>
      <c r="CLL85" s="268"/>
      <c r="CLM85" s="267"/>
      <c r="CLN85" s="268"/>
      <c r="CLO85" s="267"/>
      <c r="CLP85" s="268"/>
      <c r="CLQ85" s="267"/>
      <c r="CLR85" s="268"/>
      <c r="CLS85" s="267"/>
      <c r="CLT85" s="268"/>
      <c r="CLU85" s="267"/>
      <c r="CLV85" s="268"/>
      <c r="CLW85" s="267"/>
      <c r="CLX85" s="268"/>
      <c r="CLY85" s="267"/>
      <c r="CLZ85" s="268"/>
      <c r="CMA85" s="267"/>
      <c r="CMB85" s="268"/>
      <c r="CMC85" s="267"/>
      <c r="CMD85" s="268"/>
      <c r="CME85" s="267"/>
      <c r="CMF85" s="268"/>
      <c r="CMG85" s="267"/>
      <c r="CMH85" s="268"/>
      <c r="CMI85" s="267"/>
      <c r="CMJ85" s="268"/>
      <c r="CMK85" s="267"/>
      <c r="CML85" s="268"/>
      <c r="CMM85" s="267"/>
      <c r="CMN85" s="268"/>
      <c r="CMO85" s="267"/>
      <c r="CMP85" s="268"/>
      <c r="CMQ85" s="267"/>
      <c r="CMR85" s="268"/>
      <c r="CMS85" s="267"/>
      <c r="CMT85" s="268"/>
      <c r="CMU85" s="267"/>
      <c r="CMV85" s="268"/>
      <c r="CMW85" s="267"/>
      <c r="CMX85" s="268"/>
      <c r="CMY85" s="267"/>
      <c r="CMZ85" s="268"/>
      <c r="CNA85" s="267"/>
      <c r="CNB85" s="268"/>
      <c r="CNC85" s="267"/>
      <c r="CND85" s="268"/>
      <c r="CNE85" s="267"/>
      <c r="CNF85" s="268"/>
      <c r="CNG85" s="267"/>
      <c r="CNH85" s="268"/>
      <c r="CNI85" s="267"/>
      <c r="CNJ85" s="268"/>
      <c r="CNK85" s="267"/>
      <c r="CNL85" s="268"/>
      <c r="CNM85" s="267"/>
      <c r="CNN85" s="268"/>
      <c r="CNO85" s="267"/>
      <c r="CNP85" s="268"/>
      <c r="CNQ85" s="267"/>
      <c r="CNR85" s="268"/>
      <c r="CNS85" s="267"/>
      <c r="CNT85" s="268"/>
      <c r="CNU85" s="267"/>
      <c r="CNV85" s="268"/>
      <c r="CNW85" s="267"/>
      <c r="CNX85" s="268"/>
      <c r="CNY85" s="267"/>
      <c r="CNZ85" s="268"/>
      <c r="COA85" s="267"/>
      <c r="COB85" s="268"/>
      <c r="COC85" s="267"/>
      <c r="COD85" s="268"/>
      <c r="COE85" s="267"/>
      <c r="COF85" s="268"/>
      <c r="COG85" s="267"/>
      <c r="COH85" s="268"/>
      <c r="COI85" s="267"/>
      <c r="COJ85" s="268"/>
      <c r="COK85" s="267"/>
      <c r="COL85" s="268"/>
      <c r="COM85" s="267"/>
      <c r="CON85" s="268"/>
      <c r="COO85" s="267"/>
      <c r="COP85" s="268"/>
      <c r="COQ85" s="267"/>
      <c r="COR85" s="268"/>
      <c r="COS85" s="267"/>
      <c r="COT85" s="268"/>
      <c r="COU85" s="267"/>
      <c r="COV85" s="268"/>
      <c r="COW85" s="267"/>
      <c r="COX85" s="268"/>
      <c r="COY85" s="267"/>
      <c r="COZ85" s="268"/>
      <c r="CPA85" s="267"/>
      <c r="CPB85" s="268"/>
      <c r="CPC85" s="267"/>
      <c r="CPD85" s="268"/>
      <c r="CPE85" s="267"/>
      <c r="CPF85" s="268"/>
      <c r="CPG85" s="267"/>
      <c r="CPH85" s="268"/>
      <c r="CPI85" s="267"/>
      <c r="CPJ85" s="268"/>
      <c r="CPK85" s="267"/>
      <c r="CPL85" s="268"/>
      <c r="CPM85" s="267"/>
      <c r="CPN85" s="268"/>
      <c r="CPO85" s="267"/>
      <c r="CPP85" s="268"/>
      <c r="CPQ85" s="267"/>
      <c r="CPR85" s="268"/>
      <c r="CPS85" s="267"/>
      <c r="CPT85" s="268"/>
      <c r="CPU85" s="267"/>
      <c r="CPV85" s="268"/>
      <c r="CPW85" s="267"/>
      <c r="CPX85" s="268"/>
      <c r="CPY85" s="267"/>
      <c r="CPZ85" s="268"/>
      <c r="CQA85" s="267"/>
      <c r="CQB85" s="268"/>
      <c r="CQC85" s="267"/>
      <c r="CQD85" s="268"/>
      <c r="CQE85" s="267"/>
      <c r="CQF85" s="268"/>
      <c r="CQG85" s="267"/>
      <c r="CQH85" s="268"/>
      <c r="CQI85" s="267"/>
      <c r="CQJ85" s="268"/>
      <c r="CQK85" s="267"/>
      <c r="CQL85" s="268"/>
      <c r="CQM85" s="267"/>
      <c r="CQN85" s="268"/>
      <c r="CQO85" s="267"/>
      <c r="CQP85" s="268"/>
      <c r="CQQ85" s="267"/>
      <c r="CQR85" s="268"/>
      <c r="CQS85" s="267"/>
      <c r="CQT85" s="268"/>
      <c r="CQU85" s="267"/>
      <c r="CQV85" s="268"/>
      <c r="CQW85" s="267"/>
      <c r="CQX85" s="268"/>
      <c r="CQY85" s="267"/>
      <c r="CQZ85" s="268"/>
      <c r="CRA85" s="267"/>
      <c r="CRB85" s="268"/>
      <c r="CRC85" s="267"/>
      <c r="CRD85" s="268"/>
      <c r="CRE85" s="267"/>
      <c r="CRF85" s="268"/>
      <c r="CRG85" s="267"/>
      <c r="CRH85" s="268"/>
      <c r="CRI85" s="267"/>
      <c r="CRJ85" s="268"/>
      <c r="CRK85" s="267"/>
      <c r="CRL85" s="268"/>
      <c r="CRM85" s="267"/>
      <c r="CRN85" s="268"/>
      <c r="CRO85" s="267"/>
      <c r="CRP85" s="268"/>
      <c r="CRQ85" s="267"/>
      <c r="CRR85" s="268"/>
      <c r="CRS85" s="267"/>
      <c r="CRT85" s="268"/>
      <c r="CRU85" s="267"/>
      <c r="CRV85" s="268"/>
      <c r="CRW85" s="267"/>
      <c r="CRX85" s="268"/>
      <c r="CRY85" s="267"/>
      <c r="CRZ85" s="268"/>
      <c r="CSA85" s="267"/>
      <c r="CSB85" s="268"/>
      <c r="CSC85" s="267"/>
      <c r="CSD85" s="268"/>
      <c r="CSE85" s="267"/>
      <c r="CSF85" s="268"/>
      <c r="CSG85" s="267"/>
      <c r="CSH85" s="268"/>
      <c r="CSI85" s="267"/>
      <c r="CSJ85" s="268"/>
      <c r="CSK85" s="267"/>
      <c r="CSL85" s="268"/>
      <c r="CSM85" s="267"/>
      <c r="CSN85" s="268"/>
      <c r="CSO85" s="267"/>
      <c r="CSP85" s="268"/>
      <c r="CSQ85" s="267"/>
      <c r="CSR85" s="268"/>
      <c r="CSS85" s="267"/>
      <c r="CST85" s="268"/>
      <c r="CSU85" s="267"/>
      <c r="CSV85" s="268"/>
      <c r="CSW85" s="267"/>
      <c r="CSX85" s="268"/>
      <c r="CSY85" s="267"/>
      <c r="CSZ85" s="268"/>
      <c r="CTA85" s="267"/>
      <c r="CTB85" s="268"/>
      <c r="CTC85" s="267"/>
      <c r="CTD85" s="268"/>
      <c r="CTE85" s="267"/>
      <c r="CTF85" s="268"/>
      <c r="CTG85" s="267"/>
      <c r="CTH85" s="268"/>
      <c r="CTI85" s="267"/>
      <c r="CTJ85" s="268"/>
      <c r="CTK85" s="267"/>
      <c r="CTL85" s="268"/>
      <c r="CTM85" s="267"/>
      <c r="CTN85" s="268"/>
      <c r="CTO85" s="267"/>
      <c r="CTP85" s="268"/>
      <c r="CTQ85" s="267"/>
      <c r="CTR85" s="268"/>
      <c r="CTS85" s="267"/>
      <c r="CTT85" s="268"/>
      <c r="CTU85" s="267"/>
      <c r="CTV85" s="268"/>
      <c r="CTW85" s="267"/>
      <c r="CTX85" s="268"/>
      <c r="CTY85" s="267"/>
      <c r="CTZ85" s="268"/>
      <c r="CUA85" s="267"/>
      <c r="CUB85" s="268"/>
      <c r="CUC85" s="267"/>
      <c r="CUD85" s="268"/>
      <c r="CUE85" s="267"/>
      <c r="CUF85" s="268"/>
      <c r="CUG85" s="267"/>
      <c r="CUH85" s="268"/>
      <c r="CUI85" s="267"/>
      <c r="CUJ85" s="268"/>
      <c r="CUK85" s="267"/>
      <c r="CUL85" s="268"/>
      <c r="CUM85" s="267"/>
      <c r="CUN85" s="268"/>
      <c r="CUO85" s="267"/>
      <c r="CUP85" s="268"/>
      <c r="CUQ85" s="267"/>
      <c r="CUR85" s="268"/>
      <c r="CUS85" s="267"/>
      <c r="CUT85" s="268"/>
      <c r="CUU85" s="267"/>
      <c r="CUV85" s="268"/>
      <c r="CUW85" s="267"/>
      <c r="CUX85" s="268"/>
      <c r="CUY85" s="267"/>
      <c r="CUZ85" s="268"/>
      <c r="CVA85" s="267"/>
      <c r="CVB85" s="268"/>
      <c r="CVC85" s="267"/>
      <c r="CVD85" s="268"/>
      <c r="CVE85" s="267"/>
      <c r="CVF85" s="268"/>
      <c r="CVG85" s="267"/>
      <c r="CVH85" s="268"/>
      <c r="CVI85" s="267"/>
      <c r="CVJ85" s="268"/>
      <c r="CVK85" s="267"/>
      <c r="CVL85" s="268"/>
      <c r="CVM85" s="267"/>
      <c r="CVN85" s="268"/>
      <c r="CVO85" s="267"/>
      <c r="CVP85" s="268"/>
      <c r="CVQ85" s="267"/>
      <c r="CVR85" s="268"/>
      <c r="CVS85" s="267"/>
      <c r="CVT85" s="268"/>
      <c r="CVU85" s="267"/>
      <c r="CVV85" s="268"/>
      <c r="CVW85" s="267"/>
      <c r="CVX85" s="268"/>
      <c r="CVY85" s="267"/>
      <c r="CVZ85" s="268"/>
      <c r="CWA85" s="267"/>
      <c r="CWB85" s="268"/>
      <c r="CWC85" s="267"/>
      <c r="CWD85" s="268"/>
      <c r="CWE85" s="267"/>
      <c r="CWF85" s="268"/>
      <c r="CWG85" s="267"/>
      <c r="CWH85" s="268"/>
      <c r="CWI85" s="267"/>
      <c r="CWJ85" s="268"/>
      <c r="CWK85" s="267"/>
      <c r="CWL85" s="268"/>
      <c r="CWM85" s="267"/>
      <c r="CWN85" s="268"/>
      <c r="CWO85" s="267"/>
      <c r="CWP85" s="268"/>
      <c r="CWQ85" s="267"/>
      <c r="CWR85" s="268"/>
      <c r="CWS85" s="267"/>
      <c r="CWT85" s="268"/>
      <c r="CWU85" s="267"/>
      <c r="CWV85" s="268"/>
      <c r="CWW85" s="267"/>
      <c r="CWX85" s="268"/>
      <c r="CWY85" s="267"/>
      <c r="CWZ85" s="268"/>
      <c r="CXA85" s="267"/>
      <c r="CXB85" s="268"/>
      <c r="CXC85" s="267"/>
      <c r="CXD85" s="268"/>
      <c r="CXE85" s="267"/>
      <c r="CXF85" s="268"/>
      <c r="CXG85" s="267"/>
      <c r="CXH85" s="268"/>
      <c r="CXI85" s="267"/>
      <c r="CXJ85" s="268"/>
      <c r="CXK85" s="267"/>
      <c r="CXL85" s="268"/>
      <c r="CXM85" s="267"/>
      <c r="CXN85" s="268"/>
      <c r="CXO85" s="267"/>
      <c r="CXP85" s="268"/>
      <c r="CXQ85" s="267"/>
      <c r="CXR85" s="268"/>
      <c r="CXS85" s="267"/>
      <c r="CXT85" s="268"/>
      <c r="CXU85" s="267"/>
      <c r="CXV85" s="268"/>
      <c r="CXW85" s="267"/>
      <c r="CXX85" s="268"/>
      <c r="CXY85" s="267"/>
      <c r="CXZ85" s="268"/>
      <c r="CYA85" s="267"/>
      <c r="CYB85" s="268"/>
      <c r="CYC85" s="267"/>
      <c r="CYD85" s="268"/>
      <c r="CYE85" s="267"/>
      <c r="CYF85" s="268"/>
      <c r="CYG85" s="267"/>
      <c r="CYH85" s="268"/>
      <c r="CYI85" s="267"/>
      <c r="CYJ85" s="268"/>
      <c r="CYK85" s="267"/>
      <c r="CYL85" s="268"/>
      <c r="CYM85" s="267"/>
      <c r="CYN85" s="268"/>
      <c r="CYO85" s="267"/>
      <c r="CYP85" s="268"/>
      <c r="CYQ85" s="267"/>
      <c r="CYR85" s="268"/>
      <c r="CYS85" s="267"/>
      <c r="CYT85" s="268"/>
      <c r="CYU85" s="267"/>
      <c r="CYV85" s="268"/>
      <c r="CYW85" s="267"/>
      <c r="CYX85" s="268"/>
      <c r="CYY85" s="267"/>
      <c r="CYZ85" s="268"/>
      <c r="CZA85" s="267"/>
      <c r="CZB85" s="268"/>
      <c r="CZC85" s="267"/>
      <c r="CZD85" s="268"/>
      <c r="CZE85" s="267"/>
      <c r="CZF85" s="268"/>
      <c r="CZG85" s="267"/>
      <c r="CZH85" s="268"/>
      <c r="CZI85" s="267"/>
      <c r="CZJ85" s="268"/>
      <c r="CZK85" s="267"/>
      <c r="CZL85" s="268"/>
      <c r="CZM85" s="267"/>
      <c r="CZN85" s="268"/>
      <c r="CZO85" s="267"/>
      <c r="CZP85" s="268"/>
      <c r="CZQ85" s="267"/>
      <c r="CZR85" s="268"/>
      <c r="CZS85" s="267"/>
      <c r="CZT85" s="268"/>
      <c r="CZU85" s="267"/>
      <c r="CZV85" s="268"/>
      <c r="CZW85" s="267"/>
      <c r="CZX85" s="268"/>
      <c r="CZY85" s="267"/>
      <c r="CZZ85" s="268"/>
      <c r="DAA85" s="267"/>
      <c r="DAB85" s="268"/>
      <c r="DAC85" s="267"/>
      <c r="DAD85" s="268"/>
      <c r="DAE85" s="267"/>
      <c r="DAF85" s="268"/>
      <c r="DAG85" s="267"/>
      <c r="DAH85" s="268"/>
      <c r="DAI85" s="267"/>
      <c r="DAJ85" s="268"/>
      <c r="DAK85" s="267"/>
      <c r="DAL85" s="268"/>
      <c r="DAM85" s="267"/>
      <c r="DAN85" s="268"/>
      <c r="DAO85" s="267"/>
      <c r="DAP85" s="268"/>
      <c r="DAQ85" s="267"/>
      <c r="DAR85" s="268"/>
      <c r="DAS85" s="267"/>
      <c r="DAT85" s="268"/>
      <c r="DAU85" s="267"/>
      <c r="DAV85" s="268"/>
      <c r="DAW85" s="267"/>
      <c r="DAX85" s="268"/>
      <c r="DAY85" s="267"/>
      <c r="DAZ85" s="268"/>
      <c r="DBA85" s="267"/>
      <c r="DBB85" s="268"/>
      <c r="DBC85" s="267"/>
      <c r="DBD85" s="268"/>
      <c r="DBE85" s="267"/>
      <c r="DBF85" s="268"/>
      <c r="DBG85" s="267"/>
      <c r="DBH85" s="268"/>
      <c r="DBI85" s="267"/>
      <c r="DBJ85" s="268"/>
      <c r="DBK85" s="267"/>
      <c r="DBL85" s="268"/>
      <c r="DBM85" s="267"/>
      <c r="DBN85" s="268"/>
      <c r="DBO85" s="267"/>
      <c r="DBP85" s="268"/>
      <c r="DBQ85" s="267"/>
      <c r="DBR85" s="268"/>
      <c r="DBS85" s="267"/>
      <c r="DBT85" s="268"/>
      <c r="DBU85" s="267"/>
      <c r="DBV85" s="268"/>
      <c r="DBW85" s="267"/>
      <c r="DBX85" s="268"/>
      <c r="DBY85" s="267"/>
      <c r="DBZ85" s="268"/>
      <c r="DCA85" s="267"/>
      <c r="DCB85" s="268"/>
      <c r="DCC85" s="267"/>
      <c r="DCD85" s="268"/>
      <c r="DCE85" s="267"/>
      <c r="DCF85" s="268"/>
      <c r="DCG85" s="267"/>
      <c r="DCH85" s="268"/>
      <c r="DCI85" s="267"/>
      <c r="DCJ85" s="268"/>
      <c r="DCK85" s="267"/>
      <c r="DCL85" s="268"/>
      <c r="DCM85" s="267"/>
      <c r="DCN85" s="268"/>
      <c r="DCO85" s="267"/>
      <c r="DCP85" s="268"/>
      <c r="DCQ85" s="267"/>
      <c r="DCR85" s="268"/>
      <c r="DCS85" s="267"/>
      <c r="DCT85" s="268"/>
      <c r="DCU85" s="267"/>
      <c r="DCV85" s="268"/>
      <c r="DCW85" s="267"/>
      <c r="DCX85" s="268"/>
      <c r="DCY85" s="267"/>
      <c r="DCZ85" s="268"/>
      <c r="DDA85" s="267"/>
      <c r="DDB85" s="268"/>
      <c r="DDC85" s="267"/>
      <c r="DDD85" s="268"/>
      <c r="DDE85" s="267"/>
      <c r="DDF85" s="268"/>
      <c r="DDG85" s="267"/>
      <c r="DDH85" s="268"/>
      <c r="DDI85" s="267"/>
      <c r="DDJ85" s="268"/>
      <c r="DDK85" s="267"/>
      <c r="DDL85" s="268"/>
      <c r="DDM85" s="267"/>
      <c r="DDN85" s="268"/>
      <c r="DDO85" s="267"/>
      <c r="DDP85" s="268"/>
      <c r="DDQ85" s="267"/>
      <c r="DDR85" s="268"/>
      <c r="DDS85" s="267"/>
      <c r="DDT85" s="268"/>
      <c r="DDU85" s="267"/>
      <c r="DDV85" s="268"/>
      <c r="DDW85" s="267"/>
      <c r="DDX85" s="268"/>
      <c r="DDY85" s="267"/>
      <c r="DDZ85" s="268"/>
      <c r="DEA85" s="267"/>
      <c r="DEB85" s="268"/>
      <c r="DEC85" s="267"/>
      <c r="DED85" s="268"/>
      <c r="DEE85" s="267"/>
      <c r="DEF85" s="268"/>
      <c r="DEG85" s="267"/>
      <c r="DEH85" s="268"/>
      <c r="DEI85" s="267"/>
      <c r="DEJ85" s="268"/>
      <c r="DEK85" s="267"/>
      <c r="DEL85" s="268"/>
      <c r="DEM85" s="267"/>
      <c r="DEN85" s="268"/>
      <c r="DEO85" s="267"/>
      <c r="DEP85" s="268"/>
      <c r="DEQ85" s="267"/>
      <c r="DER85" s="268"/>
      <c r="DES85" s="267"/>
      <c r="DET85" s="268"/>
      <c r="DEU85" s="267"/>
      <c r="DEV85" s="268"/>
      <c r="DEW85" s="267"/>
      <c r="DEX85" s="268"/>
      <c r="DEY85" s="267"/>
      <c r="DEZ85" s="268"/>
      <c r="DFA85" s="267"/>
      <c r="DFB85" s="268"/>
      <c r="DFC85" s="267"/>
      <c r="DFD85" s="268"/>
      <c r="DFE85" s="267"/>
      <c r="DFF85" s="268"/>
      <c r="DFG85" s="267"/>
      <c r="DFH85" s="268"/>
      <c r="DFI85" s="267"/>
      <c r="DFJ85" s="268"/>
      <c r="DFK85" s="267"/>
      <c r="DFL85" s="268"/>
      <c r="DFM85" s="267"/>
      <c r="DFN85" s="268"/>
      <c r="DFO85" s="267"/>
      <c r="DFP85" s="268"/>
      <c r="DFQ85" s="267"/>
      <c r="DFR85" s="268"/>
      <c r="DFS85" s="267"/>
      <c r="DFT85" s="268"/>
      <c r="DFU85" s="267"/>
      <c r="DFV85" s="268"/>
      <c r="DFW85" s="267"/>
      <c r="DFX85" s="268"/>
      <c r="DFY85" s="267"/>
      <c r="DFZ85" s="268"/>
      <c r="DGA85" s="267"/>
      <c r="DGB85" s="268"/>
      <c r="DGC85" s="267"/>
      <c r="DGD85" s="268"/>
      <c r="DGE85" s="267"/>
      <c r="DGF85" s="268"/>
      <c r="DGG85" s="267"/>
      <c r="DGH85" s="268"/>
      <c r="DGI85" s="267"/>
      <c r="DGJ85" s="268"/>
      <c r="DGK85" s="267"/>
      <c r="DGL85" s="268"/>
      <c r="DGM85" s="267"/>
      <c r="DGN85" s="268"/>
      <c r="DGO85" s="267"/>
      <c r="DGP85" s="268"/>
      <c r="DGQ85" s="267"/>
      <c r="DGR85" s="268"/>
      <c r="DGS85" s="267"/>
      <c r="DGT85" s="268"/>
      <c r="DGU85" s="267"/>
      <c r="DGV85" s="268"/>
      <c r="DGW85" s="267"/>
      <c r="DGX85" s="268"/>
      <c r="DGY85" s="267"/>
      <c r="DGZ85" s="268"/>
      <c r="DHA85" s="267"/>
      <c r="DHB85" s="268"/>
      <c r="DHC85" s="267"/>
      <c r="DHD85" s="268"/>
      <c r="DHE85" s="267"/>
      <c r="DHF85" s="268"/>
      <c r="DHG85" s="267"/>
      <c r="DHH85" s="268"/>
      <c r="DHI85" s="267"/>
      <c r="DHJ85" s="268"/>
      <c r="DHK85" s="267"/>
      <c r="DHL85" s="268"/>
      <c r="DHM85" s="267"/>
      <c r="DHN85" s="268"/>
      <c r="DHO85" s="267"/>
      <c r="DHP85" s="268"/>
      <c r="DHQ85" s="267"/>
      <c r="DHR85" s="268"/>
      <c r="DHS85" s="267"/>
      <c r="DHT85" s="268"/>
      <c r="DHU85" s="267"/>
      <c r="DHV85" s="268"/>
      <c r="DHW85" s="267"/>
      <c r="DHX85" s="268"/>
      <c r="DHY85" s="267"/>
      <c r="DHZ85" s="268"/>
      <c r="DIA85" s="267"/>
      <c r="DIB85" s="268"/>
      <c r="DIC85" s="267"/>
      <c r="DID85" s="268"/>
      <c r="DIE85" s="267"/>
      <c r="DIF85" s="268"/>
      <c r="DIG85" s="267"/>
      <c r="DIH85" s="268"/>
      <c r="DII85" s="267"/>
      <c r="DIJ85" s="268"/>
      <c r="DIK85" s="267"/>
      <c r="DIL85" s="268"/>
      <c r="DIM85" s="267"/>
      <c r="DIN85" s="268"/>
      <c r="DIO85" s="267"/>
      <c r="DIP85" s="268"/>
      <c r="DIQ85" s="267"/>
      <c r="DIR85" s="268"/>
      <c r="DIS85" s="267"/>
      <c r="DIT85" s="268"/>
      <c r="DIU85" s="267"/>
      <c r="DIV85" s="268"/>
      <c r="DIW85" s="267"/>
      <c r="DIX85" s="268"/>
      <c r="DIY85" s="267"/>
      <c r="DIZ85" s="268"/>
      <c r="DJA85" s="267"/>
      <c r="DJB85" s="268"/>
      <c r="DJC85" s="267"/>
      <c r="DJD85" s="268"/>
      <c r="DJE85" s="267"/>
      <c r="DJF85" s="268"/>
      <c r="DJG85" s="267"/>
      <c r="DJH85" s="268"/>
      <c r="DJI85" s="267"/>
      <c r="DJJ85" s="268"/>
      <c r="DJK85" s="267"/>
      <c r="DJL85" s="268"/>
      <c r="DJM85" s="267"/>
      <c r="DJN85" s="268"/>
      <c r="DJO85" s="267"/>
      <c r="DJP85" s="268"/>
      <c r="DJQ85" s="267"/>
      <c r="DJR85" s="268"/>
      <c r="DJS85" s="267"/>
      <c r="DJT85" s="268"/>
      <c r="DJU85" s="267"/>
      <c r="DJV85" s="268"/>
      <c r="DJW85" s="267"/>
      <c r="DJX85" s="268"/>
      <c r="DJY85" s="267"/>
      <c r="DJZ85" s="268"/>
      <c r="DKA85" s="267"/>
      <c r="DKB85" s="268"/>
      <c r="DKC85" s="267"/>
      <c r="DKD85" s="268"/>
      <c r="DKE85" s="267"/>
      <c r="DKF85" s="268"/>
      <c r="DKG85" s="267"/>
      <c r="DKH85" s="268"/>
      <c r="DKI85" s="267"/>
      <c r="DKJ85" s="268"/>
      <c r="DKK85" s="267"/>
      <c r="DKL85" s="268"/>
      <c r="DKM85" s="267"/>
      <c r="DKN85" s="268"/>
      <c r="DKO85" s="267"/>
      <c r="DKP85" s="268"/>
      <c r="DKQ85" s="267"/>
      <c r="DKR85" s="268"/>
      <c r="DKS85" s="267"/>
      <c r="DKT85" s="268"/>
      <c r="DKU85" s="267"/>
      <c r="DKV85" s="268"/>
      <c r="DKW85" s="267"/>
      <c r="DKX85" s="268"/>
      <c r="DKY85" s="267"/>
      <c r="DKZ85" s="268"/>
      <c r="DLA85" s="267"/>
      <c r="DLB85" s="268"/>
      <c r="DLC85" s="267"/>
      <c r="DLD85" s="268"/>
      <c r="DLE85" s="267"/>
      <c r="DLF85" s="268"/>
      <c r="DLG85" s="267"/>
      <c r="DLH85" s="268"/>
      <c r="DLI85" s="267"/>
      <c r="DLJ85" s="268"/>
      <c r="DLK85" s="267"/>
      <c r="DLL85" s="268"/>
      <c r="DLM85" s="267"/>
      <c r="DLN85" s="268"/>
      <c r="DLO85" s="267"/>
      <c r="DLP85" s="268"/>
      <c r="DLQ85" s="267"/>
      <c r="DLR85" s="268"/>
      <c r="DLS85" s="267"/>
      <c r="DLT85" s="268"/>
      <c r="DLU85" s="267"/>
      <c r="DLV85" s="268"/>
      <c r="DLW85" s="267"/>
      <c r="DLX85" s="268"/>
      <c r="DLY85" s="267"/>
      <c r="DLZ85" s="268"/>
      <c r="DMA85" s="267"/>
      <c r="DMB85" s="268"/>
      <c r="DMC85" s="267"/>
      <c r="DMD85" s="268"/>
      <c r="DME85" s="267"/>
      <c r="DMF85" s="268"/>
      <c r="DMG85" s="267"/>
      <c r="DMH85" s="268"/>
      <c r="DMI85" s="267"/>
      <c r="DMJ85" s="268"/>
      <c r="DMK85" s="267"/>
      <c r="DML85" s="268"/>
      <c r="DMM85" s="267"/>
      <c r="DMN85" s="268"/>
      <c r="DMO85" s="267"/>
      <c r="DMP85" s="268"/>
      <c r="DMQ85" s="267"/>
      <c r="DMR85" s="268"/>
      <c r="DMS85" s="267"/>
      <c r="DMT85" s="268"/>
      <c r="DMU85" s="267"/>
      <c r="DMV85" s="268"/>
      <c r="DMW85" s="267"/>
      <c r="DMX85" s="268"/>
      <c r="DMY85" s="267"/>
      <c r="DMZ85" s="268"/>
      <c r="DNA85" s="267"/>
      <c r="DNB85" s="268"/>
      <c r="DNC85" s="267"/>
      <c r="DND85" s="268"/>
      <c r="DNE85" s="267"/>
      <c r="DNF85" s="268"/>
      <c r="DNG85" s="267"/>
      <c r="DNH85" s="268"/>
      <c r="DNI85" s="267"/>
      <c r="DNJ85" s="268"/>
      <c r="DNK85" s="267"/>
      <c r="DNL85" s="268"/>
      <c r="DNM85" s="267"/>
      <c r="DNN85" s="268"/>
      <c r="DNO85" s="267"/>
      <c r="DNP85" s="268"/>
      <c r="DNQ85" s="267"/>
      <c r="DNR85" s="268"/>
      <c r="DNS85" s="267"/>
      <c r="DNT85" s="268"/>
      <c r="DNU85" s="267"/>
      <c r="DNV85" s="268"/>
      <c r="DNW85" s="267"/>
      <c r="DNX85" s="268"/>
      <c r="DNY85" s="267"/>
      <c r="DNZ85" s="268"/>
      <c r="DOA85" s="267"/>
      <c r="DOB85" s="268"/>
      <c r="DOC85" s="267"/>
      <c r="DOD85" s="268"/>
      <c r="DOE85" s="267"/>
      <c r="DOF85" s="268"/>
      <c r="DOG85" s="267"/>
      <c r="DOH85" s="268"/>
      <c r="DOI85" s="267"/>
      <c r="DOJ85" s="268"/>
      <c r="DOK85" s="267"/>
      <c r="DOL85" s="268"/>
      <c r="DOM85" s="267"/>
      <c r="DON85" s="268"/>
      <c r="DOO85" s="267"/>
      <c r="DOP85" s="268"/>
      <c r="DOQ85" s="267"/>
      <c r="DOR85" s="268"/>
      <c r="DOS85" s="267"/>
      <c r="DOT85" s="268"/>
      <c r="DOU85" s="267"/>
      <c r="DOV85" s="268"/>
      <c r="DOW85" s="267"/>
      <c r="DOX85" s="268"/>
      <c r="DOY85" s="267"/>
      <c r="DOZ85" s="268"/>
      <c r="DPA85" s="267"/>
      <c r="DPB85" s="268"/>
      <c r="DPC85" s="267"/>
      <c r="DPD85" s="268"/>
      <c r="DPE85" s="267"/>
      <c r="DPF85" s="268"/>
      <c r="DPG85" s="267"/>
      <c r="DPH85" s="268"/>
      <c r="DPI85" s="267"/>
      <c r="DPJ85" s="268"/>
      <c r="DPK85" s="267"/>
      <c r="DPL85" s="268"/>
      <c r="DPM85" s="267"/>
      <c r="DPN85" s="268"/>
      <c r="DPO85" s="267"/>
      <c r="DPP85" s="268"/>
      <c r="DPQ85" s="267"/>
      <c r="DPR85" s="268"/>
      <c r="DPS85" s="267"/>
      <c r="DPT85" s="268"/>
      <c r="DPU85" s="267"/>
      <c r="DPV85" s="268"/>
      <c r="DPW85" s="267"/>
      <c r="DPX85" s="268"/>
      <c r="DPY85" s="267"/>
      <c r="DPZ85" s="268"/>
      <c r="DQA85" s="267"/>
      <c r="DQB85" s="268"/>
      <c r="DQC85" s="267"/>
      <c r="DQD85" s="268"/>
      <c r="DQE85" s="267"/>
      <c r="DQF85" s="268"/>
      <c r="DQG85" s="267"/>
      <c r="DQH85" s="268"/>
      <c r="DQI85" s="267"/>
      <c r="DQJ85" s="268"/>
      <c r="DQK85" s="267"/>
      <c r="DQL85" s="268"/>
      <c r="DQM85" s="267"/>
      <c r="DQN85" s="268"/>
      <c r="DQO85" s="267"/>
      <c r="DQP85" s="268"/>
      <c r="DQQ85" s="267"/>
      <c r="DQR85" s="268"/>
      <c r="DQS85" s="267"/>
      <c r="DQT85" s="268"/>
      <c r="DQU85" s="267"/>
      <c r="DQV85" s="268"/>
      <c r="DQW85" s="267"/>
      <c r="DQX85" s="268"/>
      <c r="DQY85" s="267"/>
      <c r="DQZ85" s="268"/>
      <c r="DRA85" s="267"/>
      <c r="DRB85" s="268"/>
      <c r="DRC85" s="267"/>
      <c r="DRD85" s="268"/>
      <c r="DRE85" s="267"/>
      <c r="DRF85" s="268"/>
      <c r="DRG85" s="267"/>
      <c r="DRH85" s="268"/>
      <c r="DRI85" s="267"/>
      <c r="DRJ85" s="268"/>
      <c r="DRK85" s="267"/>
      <c r="DRL85" s="268"/>
      <c r="DRM85" s="267"/>
      <c r="DRN85" s="268"/>
      <c r="DRO85" s="267"/>
      <c r="DRP85" s="268"/>
      <c r="DRQ85" s="267"/>
      <c r="DRR85" s="268"/>
      <c r="DRS85" s="267"/>
      <c r="DRT85" s="268"/>
      <c r="DRU85" s="267"/>
      <c r="DRV85" s="268"/>
      <c r="DRW85" s="267"/>
      <c r="DRX85" s="268"/>
      <c r="DRY85" s="267"/>
      <c r="DRZ85" s="268"/>
      <c r="DSA85" s="267"/>
      <c r="DSB85" s="268"/>
      <c r="DSC85" s="267"/>
      <c r="DSD85" s="268"/>
      <c r="DSE85" s="267"/>
      <c r="DSF85" s="268"/>
      <c r="DSG85" s="267"/>
      <c r="DSH85" s="268"/>
      <c r="DSI85" s="267"/>
      <c r="DSJ85" s="268"/>
      <c r="DSK85" s="267"/>
      <c r="DSL85" s="268"/>
      <c r="DSM85" s="267"/>
      <c r="DSN85" s="268"/>
      <c r="DSO85" s="267"/>
      <c r="DSP85" s="268"/>
      <c r="DSQ85" s="267"/>
      <c r="DSR85" s="268"/>
      <c r="DSS85" s="267"/>
      <c r="DST85" s="268"/>
      <c r="DSU85" s="267"/>
      <c r="DSV85" s="268"/>
      <c r="DSW85" s="267"/>
      <c r="DSX85" s="268"/>
      <c r="DSY85" s="267"/>
      <c r="DSZ85" s="268"/>
      <c r="DTA85" s="267"/>
      <c r="DTB85" s="268"/>
      <c r="DTC85" s="267"/>
      <c r="DTD85" s="268"/>
      <c r="DTE85" s="267"/>
      <c r="DTF85" s="268"/>
      <c r="DTG85" s="267"/>
      <c r="DTH85" s="268"/>
      <c r="DTI85" s="267"/>
      <c r="DTJ85" s="268"/>
      <c r="DTK85" s="267"/>
      <c r="DTL85" s="268"/>
      <c r="DTM85" s="267"/>
      <c r="DTN85" s="268"/>
      <c r="DTO85" s="267"/>
      <c r="DTP85" s="268"/>
      <c r="DTQ85" s="267"/>
      <c r="DTR85" s="268"/>
      <c r="DTS85" s="267"/>
      <c r="DTT85" s="268"/>
      <c r="DTU85" s="267"/>
      <c r="DTV85" s="268"/>
      <c r="DTW85" s="267"/>
      <c r="DTX85" s="268"/>
      <c r="DTY85" s="267"/>
      <c r="DTZ85" s="268"/>
      <c r="DUA85" s="267"/>
      <c r="DUB85" s="268"/>
      <c r="DUC85" s="267"/>
      <c r="DUD85" s="268"/>
      <c r="DUE85" s="267"/>
      <c r="DUF85" s="268"/>
      <c r="DUG85" s="267"/>
      <c r="DUH85" s="268"/>
      <c r="DUI85" s="267"/>
      <c r="DUJ85" s="268"/>
      <c r="DUK85" s="267"/>
      <c r="DUL85" s="268"/>
      <c r="DUM85" s="267"/>
      <c r="DUN85" s="268"/>
      <c r="DUO85" s="267"/>
      <c r="DUP85" s="268"/>
      <c r="DUQ85" s="267"/>
      <c r="DUR85" s="268"/>
      <c r="DUS85" s="267"/>
      <c r="DUT85" s="268"/>
      <c r="DUU85" s="267"/>
      <c r="DUV85" s="268"/>
      <c r="DUW85" s="267"/>
      <c r="DUX85" s="268"/>
      <c r="DUY85" s="267"/>
      <c r="DUZ85" s="268"/>
      <c r="DVA85" s="267"/>
      <c r="DVB85" s="268"/>
      <c r="DVC85" s="267"/>
      <c r="DVD85" s="268"/>
      <c r="DVE85" s="267"/>
      <c r="DVF85" s="268"/>
      <c r="DVG85" s="267"/>
      <c r="DVH85" s="268"/>
      <c r="DVI85" s="267"/>
      <c r="DVJ85" s="268"/>
      <c r="DVK85" s="267"/>
      <c r="DVL85" s="268"/>
      <c r="DVM85" s="267"/>
      <c r="DVN85" s="268"/>
      <c r="DVO85" s="267"/>
      <c r="DVP85" s="268"/>
      <c r="DVQ85" s="267"/>
      <c r="DVR85" s="268"/>
      <c r="DVS85" s="267"/>
      <c r="DVT85" s="268"/>
      <c r="DVU85" s="267"/>
      <c r="DVV85" s="268"/>
      <c r="DVW85" s="267"/>
      <c r="DVX85" s="268"/>
      <c r="DVY85" s="267"/>
      <c r="DVZ85" s="268"/>
      <c r="DWA85" s="267"/>
      <c r="DWB85" s="268"/>
      <c r="DWC85" s="267"/>
      <c r="DWD85" s="268"/>
      <c r="DWE85" s="267"/>
      <c r="DWF85" s="268"/>
      <c r="DWG85" s="267"/>
      <c r="DWH85" s="268"/>
      <c r="DWI85" s="267"/>
      <c r="DWJ85" s="268"/>
      <c r="DWK85" s="267"/>
      <c r="DWL85" s="268"/>
      <c r="DWM85" s="267"/>
      <c r="DWN85" s="268"/>
      <c r="DWO85" s="267"/>
      <c r="DWP85" s="268"/>
      <c r="DWQ85" s="267"/>
      <c r="DWR85" s="268"/>
      <c r="DWS85" s="267"/>
      <c r="DWT85" s="268"/>
      <c r="DWU85" s="267"/>
      <c r="DWV85" s="268"/>
      <c r="DWW85" s="267"/>
      <c r="DWX85" s="268"/>
      <c r="DWY85" s="267"/>
      <c r="DWZ85" s="268"/>
      <c r="DXA85" s="267"/>
      <c r="DXB85" s="268"/>
      <c r="DXC85" s="267"/>
      <c r="DXD85" s="268"/>
      <c r="DXE85" s="267"/>
      <c r="DXF85" s="268"/>
      <c r="DXG85" s="267"/>
      <c r="DXH85" s="268"/>
      <c r="DXI85" s="267"/>
      <c r="DXJ85" s="268"/>
      <c r="DXK85" s="267"/>
      <c r="DXL85" s="268"/>
      <c r="DXM85" s="267"/>
      <c r="DXN85" s="268"/>
      <c r="DXO85" s="267"/>
      <c r="DXP85" s="268"/>
      <c r="DXQ85" s="267"/>
      <c r="DXR85" s="268"/>
      <c r="DXS85" s="267"/>
      <c r="DXT85" s="268"/>
      <c r="DXU85" s="267"/>
      <c r="DXV85" s="268"/>
      <c r="DXW85" s="267"/>
      <c r="DXX85" s="268"/>
      <c r="DXY85" s="267"/>
      <c r="DXZ85" s="268"/>
      <c r="DYA85" s="267"/>
      <c r="DYB85" s="268"/>
      <c r="DYC85" s="267"/>
      <c r="DYD85" s="268"/>
      <c r="DYE85" s="267"/>
      <c r="DYF85" s="268"/>
      <c r="DYG85" s="267"/>
      <c r="DYH85" s="268"/>
      <c r="DYI85" s="267"/>
      <c r="DYJ85" s="268"/>
      <c r="DYK85" s="267"/>
      <c r="DYL85" s="268"/>
      <c r="DYM85" s="267"/>
      <c r="DYN85" s="268"/>
      <c r="DYO85" s="267"/>
      <c r="DYP85" s="268"/>
      <c r="DYQ85" s="267"/>
      <c r="DYR85" s="268"/>
      <c r="DYS85" s="267"/>
      <c r="DYT85" s="268"/>
      <c r="DYU85" s="267"/>
      <c r="DYV85" s="268"/>
      <c r="DYW85" s="267"/>
      <c r="DYX85" s="268"/>
      <c r="DYY85" s="267"/>
      <c r="DYZ85" s="268"/>
      <c r="DZA85" s="267"/>
      <c r="DZB85" s="268"/>
      <c r="DZC85" s="267"/>
      <c r="DZD85" s="268"/>
      <c r="DZE85" s="267"/>
      <c r="DZF85" s="268"/>
      <c r="DZG85" s="267"/>
      <c r="DZH85" s="268"/>
      <c r="DZI85" s="267"/>
      <c r="DZJ85" s="268"/>
      <c r="DZK85" s="267"/>
      <c r="DZL85" s="268"/>
      <c r="DZM85" s="267"/>
      <c r="DZN85" s="268"/>
      <c r="DZO85" s="267"/>
      <c r="DZP85" s="268"/>
      <c r="DZQ85" s="267"/>
      <c r="DZR85" s="268"/>
      <c r="DZS85" s="267"/>
      <c r="DZT85" s="268"/>
      <c r="DZU85" s="267"/>
      <c r="DZV85" s="268"/>
      <c r="DZW85" s="267"/>
      <c r="DZX85" s="268"/>
      <c r="DZY85" s="267"/>
      <c r="DZZ85" s="268"/>
      <c r="EAA85" s="267"/>
      <c r="EAB85" s="268"/>
      <c r="EAC85" s="267"/>
      <c r="EAD85" s="268"/>
      <c r="EAE85" s="267"/>
      <c r="EAF85" s="268"/>
      <c r="EAG85" s="267"/>
      <c r="EAH85" s="268"/>
      <c r="EAI85" s="267"/>
      <c r="EAJ85" s="268"/>
      <c r="EAK85" s="267"/>
      <c r="EAL85" s="268"/>
      <c r="EAM85" s="267"/>
      <c r="EAN85" s="268"/>
      <c r="EAO85" s="267"/>
      <c r="EAP85" s="268"/>
      <c r="EAQ85" s="267"/>
      <c r="EAR85" s="268"/>
      <c r="EAS85" s="267"/>
      <c r="EAT85" s="268"/>
      <c r="EAU85" s="267"/>
      <c r="EAV85" s="268"/>
      <c r="EAW85" s="267"/>
      <c r="EAX85" s="268"/>
      <c r="EAY85" s="267"/>
      <c r="EAZ85" s="268"/>
      <c r="EBA85" s="267"/>
      <c r="EBB85" s="268"/>
      <c r="EBC85" s="267"/>
      <c r="EBD85" s="268"/>
      <c r="EBE85" s="267"/>
      <c r="EBF85" s="268"/>
      <c r="EBG85" s="267"/>
      <c r="EBH85" s="268"/>
      <c r="EBI85" s="267"/>
      <c r="EBJ85" s="268"/>
      <c r="EBK85" s="267"/>
      <c r="EBL85" s="268"/>
      <c r="EBM85" s="267"/>
      <c r="EBN85" s="268"/>
      <c r="EBO85" s="267"/>
      <c r="EBP85" s="268"/>
      <c r="EBQ85" s="267"/>
      <c r="EBR85" s="268"/>
      <c r="EBS85" s="267"/>
      <c r="EBT85" s="268"/>
      <c r="EBU85" s="267"/>
      <c r="EBV85" s="268"/>
      <c r="EBW85" s="267"/>
      <c r="EBX85" s="268"/>
      <c r="EBY85" s="267"/>
      <c r="EBZ85" s="268"/>
      <c r="ECA85" s="267"/>
      <c r="ECB85" s="268"/>
      <c r="ECC85" s="267"/>
      <c r="ECD85" s="268"/>
      <c r="ECE85" s="267"/>
      <c r="ECF85" s="268"/>
      <c r="ECG85" s="267"/>
      <c r="ECH85" s="268"/>
      <c r="ECI85" s="267"/>
      <c r="ECJ85" s="268"/>
      <c r="ECK85" s="267"/>
      <c r="ECL85" s="268"/>
      <c r="ECM85" s="267"/>
      <c r="ECN85" s="268"/>
      <c r="ECO85" s="267"/>
      <c r="ECP85" s="268"/>
      <c r="ECQ85" s="267"/>
      <c r="ECR85" s="268"/>
      <c r="ECS85" s="267"/>
      <c r="ECT85" s="268"/>
      <c r="ECU85" s="267"/>
      <c r="ECV85" s="268"/>
      <c r="ECW85" s="267"/>
      <c r="ECX85" s="268"/>
      <c r="ECY85" s="267"/>
      <c r="ECZ85" s="268"/>
      <c r="EDA85" s="267"/>
      <c r="EDB85" s="268"/>
      <c r="EDC85" s="267"/>
      <c r="EDD85" s="268"/>
      <c r="EDE85" s="267"/>
      <c r="EDF85" s="268"/>
      <c r="EDG85" s="267"/>
      <c r="EDH85" s="268"/>
      <c r="EDI85" s="267"/>
      <c r="EDJ85" s="268"/>
      <c r="EDK85" s="267"/>
      <c r="EDL85" s="268"/>
      <c r="EDM85" s="267"/>
      <c r="EDN85" s="268"/>
      <c r="EDO85" s="267"/>
      <c r="EDP85" s="268"/>
      <c r="EDQ85" s="267"/>
      <c r="EDR85" s="268"/>
      <c r="EDS85" s="267"/>
      <c r="EDT85" s="268"/>
      <c r="EDU85" s="267"/>
      <c r="EDV85" s="268"/>
      <c r="EDW85" s="267"/>
      <c r="EDX85" s="268"/>
      <c r="EDY85" s="267"/>
      <c r="EDZ85" s="268"/>
      <c r="EEA85" s="267"/>
      <c r="EEB85" s="268"/>
      <c r="EEC85" s="267"/>
      <c r="EED85" s="268"/>
      <c r="EEE85" s="267"/>
      <c r="EEF85" s="268"/>
      <c r="EEG85" s="267"/>
      <c r="EEH85" s="268"/>
      <c r="EEI85" s="267"/>
      <c r="EEJ85" s="268"/>
      <c r="EEK85" s="267"/>
      <c r="EEL85" s="268"/>
      <c r="EEM85" s="267"/>
      <c r="EEN85" s="268"/>
      <c r="EEO85" s="267"/>
      <c r="EEP85" s="268"/>
      <c r="EEQ85" s="267"/>
      <c r="EER85" s="268"/>
      <c r="EES85" s="267"/>
      <c r="EET85" s="268"/>
      <c r="EEU85" s="267"/>
      <c r="EEV85" s="268"/>
      <c r="EEW85" s="267"/>
      <c r="EEX85" s="268"/>
      <c r="EEY85" s="267"/>
      <c r="EEZ85" s="268"/>
      <c r="EFA85" s="267"/>
      <c r="EFB85" s="268"/>
      <c r="EFC85" s="267"/>
      <c r="EFD85" s="268"/>
      <c r="EFE85" s="267"/>
      <c r="EFF85" s="268"/>
      <c r="EFG85" s="267"/>
      <c r="EFH85" s="268"/>
      <c r="EFI85" s="267"/>
      <c r="EFJ85" s="268"/>
      <c r="EFK85" s="267"/>
      <c r="EFL85" s="268"/>
      <c r="EFM85" s="267"/>
      <c r="EFN85" s="268"/>
      <c r="EFO85" s="267"/>
      <c r="EFP85" s="268"/>
      <c r="EFQ85" s="267"/>
      <c r="EFR85" s="268"/>
      <c r="EFS85" s="267"/>
      <c r="EFT85" s="268"/>
      <c r="EFU85" s="267"/>
      <c r="EFV85" s="268"/>
      <c r="EFW85" s="267"/>
      <c r="EFX85" s="268"/>
      <c r="EFY85" s="267"/>
      <c r="EFZ85" s="268"/>
      <c r="EGA85" s="267"/>
      <c r="EGB85" s="268"/>
      <c r="EGC85" s="267"/>
      <c r="EGD85" s="268"/>
      <c r="EGE85" s="267"/>
      <c r="EGF85" s="268"/>
      <c r="EGG85" s="267"/>
      <c r="EGH85" s="268"/>
      <c r="EGI85" s="267"/>
      <c r="EGJ85" s="268"/>
      <c r="EGK85" s="267"/>
      <c r="EGL85" s="268"/>
      <c r="EGM85" s="267"/>
      <c r="EGN85" s="268"/>
      <c r="EGO85" s="267"/>
      <c r="EGP85" s="268"/>
      <c r="EGQ85" s="267"/>
      <c r="EGR85" s="268"/>
      <c r="EGS85" s="267"/>
      <c r="EGT85" s="268"/>
      <c r="EGU85" s="267"/>
      <c r="EGV85" s="268"/>
      <c r="EGW85" s="267"/>
      <c r="EGX85" s="268"/>
      <c r="EGY85" s="267"/>
      <c r="EGZ85" s="268"/>
      <c r="EHA85" s="267"/>
      <c r="EHB85" s="268"/>
      <c r="EHC85" s="267"/>
      <c r="EHD85" s="268"/>
      <c r="EHE85" s="267"/>
      <c r="EHF85" s="268"/>
      <c r="EHG85" s="267"/>
      <c r="EHH85" s="268"/>
      <c r="EHI85" s="267"/>
      <c r="EHJ85" s="268"/>
      <c r="EHK85" s="267"/>
      <c r="EHL85" s="268"/>
      <c r="EHM85" s="267"/>
      <c r="EHN85" s="268"/>
      <c r="EHO85" s="267"/>
      <c r="EHP85" s="268"/>
      <c r="EHQ85" s="267"/>
      <c r="EHR85" s="268"/>
      <c r="EHS85" s="267"/>
      <c r="EHT85" s="268"/>
      <c r="EHU85" s="267"/>
      <c r="EHV85" s="268"/>
      <c r="EHW85" s="267"/>
      <c r="EHX85" s="268"/>
      <c r="EHY85" s="267"/>
      <c r="EHZ85" s="268"/>
      <c r="EIA85" s="267"/>
      <c r="EIB85" s="268"/>
      <c r="EIC85" s="267"/>
      <c r="EID85" s="268"/>
      <c r="EIE85" s="267"/>
      <c r="EIF85" s="268"/>
      <c r="EIG85" s="267"/>
      <c r="EIH85" s="268"/>
      <c r="EII85" s="267"/>
      <c r="EIJ85" s="268"/>
      <c r="EIK85" s="267"/>
      <c r="EIL85" s="268"/>
      <c r="EIM85" s="267"/>
      <c r="EIN85" s="268"/>
      <c r="EIO85" s="267"/>
      <c r="EIP85" s="268"/>
      <c r="EIQ85" s="267"/>
      <c r="EIR85" s="268"/>
      <c r="EIS85" s="267"/>
      <c r="EIT85" s="268"/>
      <c r="EIU85" s="267"/>
      <c r="EIV85" s="268"/>
      <c r="EIW85" s="267"/>
      <c r="EIX85" s="268"/>
      <c r="EIY85" s="267"/>
      <c r="EIZ85" s="268"/>
      <c r="EJA85" s="267"/>
      <c r="EJB85" s="268"/>
      <c r="EJC85" s="267"/>
      <c r="EJD85" s="268"/>
      <c r="EJE85" s="267"/>
      <c r="EJF85" s="268"/>
      <c r="EJG85" s="267"/>
      <c r="EJH85" s="268"/>
      <c r="EJI85" s="267"/>
      <c r="EJJ85" s="268"/>
      <c r="EJK85" s="267"/>
      <c r="EJL85" s="268"/>
      <c r="EJM85" s="267"/>
      <c r="EJN85" s="268"/>
      <c r="EJO85" s="267"/>
      <c r="EJP85" s="268"/>
      <c r="EJQ85" s="267"/>
      <c r="EJR85" s="268"/>
      <c r="EJS85" s="267"/>
      <c r="EJT85" s="268"/>
      <c r="EJU85" s="267"/>
      <c r="EJV85" s="268"/>
      <c r="EJW85" s="267"/>
      <c r="EJX85" s="268"/>
      <c r="EJY85" s="267"/>
      <c r="EJZ85" s="268"/>
      <c r="EKA85" s="267"/>
      <c r="EKB85" s="268"/>
      <c r="EKC85" s="267"/>
      <c r="EKD85" s="268"/>
      <c r="EKE85" s="267"/>
      <c r="EKF85" s="268"/>
      <c r="EKG85" s="267"/>
      <c r="EKH85" s="268"/>
      <c r="EKI85" s="267"/>
      <c r="EKJ85" s="268"/>
      <c r="EKK85" s="267"/>
      <c r="EKL85" s="268"/>
      <c r="EKM85" s="267"/>
      <c r="EKN85" s="268"/>
      <c r="EKO85" s="267"/>
      <c r="EKP85" s="268"/>
      <c r="EKQ85" s="267"/>
      <c r="EKR85" s="268"/>
      <c r="EKS85" s="267"/>
      <c r="EKT85" s="268"/>
      <c r="EKU85" s="267"/>
      <c r="EKV85" s="268"/>
      <c r="EKW85" s="267"/>
      <c r="EKX85" s="268"/>
      <c r="EKY85" s="267"/>
      <c r="EKZ85" s="268"/>
      <c r="ELA85" s="267"/>
      <c r="ELB85" s="268"/>
      <c r="ELC85" s="267"/>
      <c r="ELD85" s="268"/>
      <c r="ELE85" s="267"/>
      <c r="ELF85" s="268"/>
      <c r="ELG85" s="267"/>
      <c r="ELH85" s="268"/>
      <c r="ELI85" s="267"/>
      <c r="ELJ85" s="268"/>
      <c r="ELK85" s="267"/>
      <c r="ELL85" s="268"/>
      <c r="ELM85" s="267"/>
      <c r="ELN85" s="268"/>
      <c r="ELO85" s="267"/>
      <c r="ELP85" s="268"/>
      <c r="ELQ85" s="267"/>
      <c r="ELR85" s="268"/>
      <c r="ELS85" s="267"/>
      <c r="ELT85" s="268"/>
      <c r="ELU85" s="267"/>
      <c r="ELV85" s="268"/>
      <c r="ELW85" s="267"/>
      <c r="ELX85" s="268"/>
      <c r="ELY85" s="267"/>
      <c r="ELZ85" s="268"/>
      <c r="EMA85" s="267"/>
      <c r="EMB85" s="268"/>
      <c r="EMC85" s="267"/>
      <c r="EMD85" s="268"/>
      <c r="EME85" s="267"/>
      <c r="EMF85" s="268"/>
      <c r="EMG85" s="267"/>
      <c r="EMH85" s="268"/>
      <c r="EMI85" s="267"/>
      <c r="EMJ85" s="268"/>
      <c r="EMK85" s="267"/>
      <c r="EML85" s="268"/>
      <c r="EMM85" s="267"/>
      <c r="EMN85" s="268"/>
      <c r="EMO85" s="267"/>
      <c r="EMP85" s="268"/>
      <c r="EMQ85" s="267"/>
      <c r="EMR85" s="268"/>
      <c r="EMS85" s="267"/>
      <c r="EMT85" s="268"/>
      <c r="EMU85" s="267"/>
      <c r="EMV85" s="268"/>
      <c r="EMW85" s="267"/>
      <c r="EMX85" s="268"/>
      <c r="EMY85" s="267"/>
      <c r="EMZ85" s="268"/>
      <c r="ENA85" s="267"/>
      <c r="ENB85" s="268"/>
      <c r="ENC85" s="267"/>
      <c r="END85" s="268"/>
      <c r="ENE85" s="267"/>
      <c r="ENF85" s="268"/>
      <c r="ENG85" s="267"/>
      <c r="ENH85" s="268"/>
      <c r="ENI85" s="267"/>
      <c r="ENJ85" s="268"/>
      <c r="ENK85" s="267"/>
      <c r="ENL85" s="268"/>
      <c r="ENM85" s="267"/>
      <c r="ENN85" s="268"/>
      <c r="ENO85" s="267"/>
      <c r="ENP85" s="268"/>
      <c r="ENQ85" s="267"/>
      <c r="ENR85" s="268"/>
      <c r="ENS85" s="267"/>
      <c r="ENT85" s="268"/>
      <c r="ENU85" s="267"/>
      <c r="ENV85" s="268"/>
      <c r="ENW85" s="267"/>
      <c r="ENX85" s="268"/>
      <c r="ENY85" s="267"/>
      <c r="ENZ85" s="268"/>
      <c r="EOA85" s="267"/>
      <c r="EOB85" s="268"/>
      <c r="EOC85" s="267"/>
      <c r="EOD85" s="268"/>
      <c r="EOE85" s="267"/>
      <c r="EOF85" s="268"/>
      <c r="EOG85" s="267"/>
      <c r="EOH85" s="268"/>
      <c r="EOI85" s="267"/>
      <c r="EOJ85" s="268"/>
      <c r="EOK85" s="267"/>
      <c r="EOL85" s="268"/>
      <c r="EOM85" s="267"/>
      <c r="EON85" s="268"/>
      <c r="EOO85" s="267"/>
      <c r="EOP85" s="268"/>
      <c r="EOQ85" s="267"/>
      <c r="EOR85" s="268"/>
      <c r="EOS85" s="267"/>
      <c r="EOT85" s="268"/>
      <c r="EOU85" s="267"/>
      <c r="EOV85" s="268"/>
      <c r="EOW85" s="267"/>
      <c r="EOX85" s="268"/>
      <c r="EOY85" s="267"/>
      <c r="EOZ85" s="268"/>
      <c r="EPA85" s="267"/>
      <c r="EPB85" s="268"/>
      <c r="EPC85" s="267"/>
      <c r="EPD85" s="268"/>
      <c r="EPE85" s="267"/>
      <c r="EPF85" s="268"/>
      <c r="EPG85" s="267"/>
      <c r="EPH85" s="268"/>
      <c r="EPI85" s="267"/>
      <c r="EPJ85" s="268"/>
      <c r="EPK85" s="267"/>
      <c r="EPL85" s="268"/>
      <c r="EPM85" s="267"/>
      <c r="EPN85" s="268"/>
      <c r="EPO85" s="267"/>
      <c r="EPP85" s="268"/>
      <c r="EPQ85" s="267"/>
      <c r="EPR85" s="268"/>
      <c r="EPS85" s="267"/>
      <c r="EPT85" s="268"/>
      <c r="EPU85" s="267"/>
      <c r="EPV85" s="268"/>
      <c r="EPW85" s="267"/>
      <c r="EPX85" s="268"/>
      <c r="EPY85" s="267"/>
      <c r="EPZ85" s="268"/>
      <c r="EQA85" s="267"/>
      <c r="EQB85" s="268"/>
      <c r="EQC85" s="267"/>
      <c r="EQD85" s="268"/>
      <c r="EQE85" s="267"/>
      <c r="EQF85" s="268"/>
      <c r="EQG85" s="267"/>
      <c r="EQH85" s="268"/>
      <c r="EQI85" s="267"/>
      <c r="EQJ85" s="268"/>
      <c r="EQK85" s="267"/>
      <c r="EQL85" s="268"/>
      <c r="EQM85" s="267"/>
      <c r="EQN85" s="268"/>
      <c r="EQO85" s="267"/>
      <c r="EQP85" s="268"/>
      <c r="EQQ85" s="267"/>
      <c r="EQR85" s="268"/>
      <c r="EQS85" s="267"/>
      <c r="EQT85" s="268"/>
      <c r="EQU85" s="267"/>
      <c r="EQV85" s="268"/>
      <c r="EQW85" s="267"/>
      <c r="EQX85" s="268"/>
      <c r="EQY85" s="267"/>
      <c r="EQZ85" s="268"/>
      <c r="ERA85" s="267"/>
      <c r="ERB85" s="268"/>
      <c r="ERC85" s="267"/>
      <c r="ERD85" s="268"/>
      <c r="ERE85" s="267"/>
      <c r="ERF85" s="268"/>
      <c r="ERG85" s="267"/>
      <c r="ERH85" s="268"/>
      <c r="ERI85" s="267"/>
      <c r="ERJ85" s="268"/>
      <c r="ERK85" s="267"/>
      <c r="ERL85" s="268"/>
      <c r="ERM85" s="267"/>
      <c r="ERN85" s="268"/>
      <c r="ERO85" s="267"/>
      <c r="ERP85" s="268"/>
      <c r="ERQ85" s="267"/>
      <c r="ERR85" s="268"/>
      <c r="ERS85" s="267"/>
      <c r="ERT85" s="268"/>
      <c r="ERU85" s="267"/>
      <c r="ERV85" s="268"/>
      <c r="ERW85" s="267"/>
      <c r="ERX85" s="268"/>
      <c r="ERY85" s="267"/>
      <c r="ERZ85" s="268"/>
      <c r="ESA85" s="267"/>
      <c r="ESB85" s="268"/>
      <c r="ESC85" s="267"/>
      <c r="ESD85" s="268"/>
      <c r="ESE85" s="267"/>
      <c r="ESF85" s="268"/>
      <c r="ESG85" s="267"/>
      <c r="ESH85" s="268"/>
      <c r="ESI85" s="267"/>
      <c r="ESJ85" s="268"/>
      <c r="ESK85" s="267"/>
      <c r="ESL85" s="268"/>
      <c r="ESM85" s="267"/>
      <c r="ESN85" s="268"/>
      <c r="ESO85" s="267"/>
      <c r="ESP85" s="268"/>
      <c r="ESQ85" s="267"/>
      <c r="ESR85" s="268"/>
      <c r="ESS85" s="267"/>
      <c r="EST85" s="268"/>
      <c r="ESU85" s="267"/>
      <c r="ESV85" s="268"/>
      <c r="ESW85" s="267"/>
      <c r="ESX85" s="268"/>
      <c r="ESY85" s="267"/>
      <c r="ESZ85" s="268"/>
      <c r="ETA85" s="267"/>
      <c r="ETB85" s="268"/>
      <c r="ETC85" s="267"/>
      <c r="ETD85" s="268"/>
      <c r="ETE85" s="267"/>
      <c r="ETF85" s="268"/>
      <c r="ETG85" s="267"/>
      <c r="ETH85" s="268"/>
      <c r="ETI85" s="267"/>
      <c r="ETJ85" s="268"/>
      <c r="ETK85" s="267"/>
      <c r="ETL85" s="268"/>
      <c r="ETM85" s="267"/>
      <c r="ETN85" s="268"/>
      <c r="ETO85" s="267"/>
      <c r="ETP85" s="268"/>
      <c r="ETQ85" s="267"/>
      <c r="ETR85" s="268"/>
      <c r="ETS85" s="267"/>
      <c r="ETT85" s="268"/>
      <c r="ETU85" s="267"/>
      <c r="ETV85" s="268"/>
      <c r="ETW85" s="267"/>
      <c r="ETX85" s="268"/>
      <c r="ETY85" s="267"/>
      <c r="ETZ85" s="268"/>
      <c r="EUA85" s="267"/>
      <c r="EUB85" s="268"/>
      <c r="EUC85" s="267"/>
      <c r="EUD85" s="268"/>
      <c r="EUE85" s="267"/>
      <c r="EUF85" s="268"/>
      <c r="EUG85" s="267"/>
      <c r="EUH85" s="268"/>
      <c r="EUI85" s="267"/>
      <c r="EUJ85" s="268"/>
      <c r="EUK85" s="267"/>
      <c r="EUL85" s="268"/>
      <c r="EUM85" s="267"/>
      <c r="EUN85" s="268"/>
      <c r="EUO85" s="267"/>
      <c r="EUP85" s="268"/>
      <c r="EUQ85" s="267"/>
      <c r="EUR85" s="268"/>
      <c r="EUS85" s="267"/>
      <c r="EUT85" s="268"/>
      <c r="EUU85" s="267"/>
      <c r="EUV85" s="268"/>
      <c r="EUW85" s="267"/>
      <c r="EUX85" s="268"/>
      <c r="EUY85" s="267"/>
      <c r="EUZ85" s="268"/>
      <c r="EVA85" s="267"/>
      <c r="EVB85" s="268"/>
      <c r="EVC85" s="267"/>
      <c r="EVD85" s="268"/>
      <c r="EVE85" s="267"/>
      <c r="EVF85" s="268"/>
      <c r="EVG85" s="267"/>
      <c r="EVH85" s="268"/>
      <c r="EVI85" s="267"/>
      <c r="EVJ85" s="268"/>
      <c r="EVK85" s="267"/>
      <c r="EVL85" s="268"/>
      <c r="EVM85" s="267"/>
      <c r="EVN85" s="268"/>
      <c r="EVO85" s="267"/>
      <c r="EVP85" s="268"/>
      <c r="EVQ85" s="267"/>
      <c r="EVR85" s="268"/>
      <c r="EVS85" s="267"/>
      <c r="EVT85" s="268"/>
      <c r="EVU85" s="267"/>
      <c r="EVV85" s="268"/>
      <c r="EVW85" s="267"/>
      <c r="EVX85" s="268"/>
      <c r="EVY85" s="267"/>
      <c r="EVZ85" s="268"/>
      <c r="EWA85" s="267"/>
      <c r="EWB85" s="268"/>
      <c r="EWC85" s="267"/>
      <c r="EWD85" s="268"/>
      <c r="EWE85" s="267"/>
      <c r="EWF85" s="268"/>
      <c r="EWG85" s="267"/>
      <c r="EWH85" s="268"/>
      <c r="EWI85" s="267"/>
      <c r="EWJ85" s="268"/>
      <c r="EWK85" s="267"/>
      <c r="EWL85" s="268"/>
      <c r="EWM85" s="267"/>
      <c r="EWN85" s="268"/>
      <c r="EWO85" s="267"/>
      <c r="EWP85" s="268"/>
      <c r="EWQ85" s="267"/>
      <c r="EWR85" s="268"/>
      <c r="EWS85" s="267"/>
      <c r="EWT85" s="268"/>
      <c r="EWU85" s="267"/>
      <c r="EWV85" s="268"/>
      <c r="EWW85" s="267"/>
      <c r="EWX85" s="268"/>
      <c r="EWY85" s="267"/>
      <c r="EWZ85" s="268"/>
      <c r="EXA85" s="267"/>
      <c r="EXB85" s="268"/>
      <c r="EXC85" s="267"/>
      <c r="EXD85" s="268"/>
      <c r="EXE85" s="267"/>
      <c r="EXF85" s="268"/>
      <c r="EXG85" s="267"/>
      <c r="EXH85" s="268"/>
      <c r="EXI85" s="267"/>
      <c r="EXJ85" s="268"/>
      <c r="EXK85" s="267"/>
      <c r="EXL85" s="268"/>
      <c r="EXM85" s="267"/>
      <c r="EXN85" s="268"/>
      <c r="EXO85" s="267"/>
      <c r="EXP85" s="268"/>
      <c r="EXQ85" s="267"/>
      <c r="EXR85" s="268"/>
      <c r="EXS85" s="267"/>
      <c r="EXT85" s="268"/>
      <c r="EXU85" s="267"/>
      <c r="EXV85" s="268"/>
      <c r="EXW85" s="267"/>
      <c r="EXX85" s="268"/>
      <c r="EXY85" s="267"/>
      <c r="EXZ85" s="268"/>
      <c r="EYA85" s="267"/>
      <c r="EYB85" s="268"/>
      <c r="EYC85" s="267"/>
      <c r="EYD85" s="268"/>
      <c r="EYE85" s="267"/>
      <c r="EYF85" s="268"/>
      <c r="EYG85" s="267"/>
      <c r="EYH85" s="268"/>
      <c r="EYI85" s="267"/>
      <c r="EYJ85" s="268"/>
      <c r="EYK85" s="267"/>
      <c r="EYL85" s="268"/>
      <c r="EYM85" s="267"/>
      <c r="EYN85" s="268"/>
      <c r="EYO85" s="267"/>
      <c r="EYP85" s="268"/>
      <c r="EYQ85" s="267"/>
      <c r="EYR85" s="268"/>
      <c r="EYS85" s="267"/>
      <c r="EYT85" s="268"/>
      <c r="EYU85" s="267"/>
      <c r="EYV85" s="268"/>
      <c r="EYW85" s="267"/>
      <c r="EYX85" s="268"/>
      <c r="EYY85" s="267"/>
      <c r="EYZ85" s="268"/>
      <c r="EZA85" s="267"/>
      <c r="EZB85" s="268"/>
      <c r="EZC85" s="267"/>
      <c r="EZD85" s="268"/>
      <c r="EZE85" s="267"/>
      <c r="EZF85" s="268"/>
      <c r="EZG85" s="267"/>
      <c r="EZH85" s="268"/>
      <c r="EZI85" s="267"/>
      <c r="EZJ85" s="268"/>
      <c r="EZK85" s="267"/>
      <c r="EZL85" s="268"/>
      <c r="EZM85" s="267"/>
      <c r="EZN85" s="268"/>
      <c r="EZO85" s="267"/>
      <c r="EZP85" s="268"/>
      <c r="EZQ85" s="267"/>
      <c r="EZR85" s="268"/>
      <c r="EZS85" s="267"/>
      <c r="EZT85" s="268"/>
      <c r="EZU85" s="267"/>
      <c r="EZV85" s="268"/>
      <c r="EZW85" s="267"/>
      <c r="EZX85" s="268"/>
      <c r="EZY85" s="267"/>
      <c r="EZZ85" s="268"/>
      <c r="FAA85" s="267"/>
      <c r="FAB85" s="268"/>
      <c r="FAC85" s="267"/>
      <c r="FAD85" s="268"/>
      <c r="FAE85" s="267"/>
      <c r="FAF85" s="268"/>
      <c r="FAG85" s="267"/>
      <c r="FAH85" s="268"/>
      <c r="FAI85" s="267"/>
      <c r="FAJ85" s="268"/>
      <c r="FAK85" s="267"/>
      <c r="FAL85" s="268"/>
      <c r="FAM85" s="267"/>
      <c r="FAN85" s="268"/>
      <c r="FAO85" s="267"/>
      <c r="FAP85" s="268"/>
      <c r="FAQ85" s="267"/>
      <c r="FAR85" s="268"/>
      <c r="FAS85" s="267"/>
      <c r="FAT85" s="268"/>
      <c r="FAU85" s="267"/>
      <c r="FAV85" s="268"/>
      <c r="FAW85" s="267"/>
      <c r="FAX85" s="268"/>
      <c r="FAY85" s="267"/>
      <c r="FAZ85" s="268"/>
      <c r="FBA85" s="267"/>
      <c r="FBB85" s="268"/>
      <c r="FBC85" s="267"/>
      <c r="FBD85" s="268"/>
      <c r="FBE85" s="267"/>
      <c r="FBF85" s="268"/>
      <c r="FBG85" s="267"/>
      <c r="FBH85" s="268"/>
      <c r="FBI85" s="267"/>
      <c r="FBJ85" s="268"/>
      <c r="FBK85" s="267"/>
      <c r="FBL85" s="268"/>
      <c r="FBM85" s="267"/>
      <c r="FBN85" s="268"/>
      <c r="FBO85" s="267"/>
      <c r="FBP85" s="268"/>
      <c r="FBQ85" s="267"/>
      <c r="FBR85" s="268"/>
      <c r="FBS85" s="267"/>
      <c r="FBT85" s="268"/>
      <c r="FBU85" s="267"/>
      <c r="FBV85" s="268"/>
      <c r="FBW85" s="267"/>
      <c r="FBX85" s="268"/>
      <c r="FBY85" s="267"/>
      <c r="FBZ85" s="268"/>
      <c r="FCA85" s="267"/>
      <c r="FCB85" s="268"/>
      <c r="FCC85" s="267"/>
      <c r="FCD85" s="268"/>
      <c r="FCE85" s="267"/>
      <c r="FCF85" s="268"/>
      <c r="FCG85" s="267"/>
      <c r="FCH85" s="268"/>
      <c r="FCI85" s="267"/>
      <c r="FCJ85" s="268"/>
      <c r="FCK85" s="267"/>
      <c r="FCL85" s="268"/>
      <c r="FCM85" s="267"/>
      <c r="FCN85" s="268"/>
      <c r="FCO85" s="267"/>
      <c r="FCP85" s="268"/>
      <c r="FCQ85" s="267"/>
      <c r="FCR85" s="268"/>
      <c r="FCS85" s="267"/>
      <c r="FCT85" s="268"/>
      <c r="FCU85" s="267"/>
      <c r="FCV85" s="268"/>
      <c r="FCW85" s="267"/>
      <c r="FCX85" s="268"/>
      <c r="FCY85" s="267"/>
      <c r="FCZ85" s="268"/>
      <c r="FDA85" s="267"/>
      <c r="FDB85" s="268"/>
      <c r="FDC85" s="267"/>
      <c r="FDD85" s="268"/>
      <c r="FDE85" s="267"/>
      <c r="FDF85" s="268"/>
      <c r="FDG85" s="267"/>
      <c r="FDH85" s="268"/>
      <c r="FDI85" s="267"/>
      <c r="FDJ85" s="268"/>
      <c r="FDK85" s="267"/>
      <c r="FDL85" s="268"/>
      <c r="FDM85" s="267"/>
      <c r="FDN85" s="268"/>
      <c r="FDO85" s="267"/>
      <c r="FDP85" s="268"/>
      <c r="FDQ85" s="267"/>
      <c r="FDR85" s="268"/>
      <c r="FDS85" s="267"/>
      <c r="FDT85" s="268"/>
      <c r="FDU85" s="267"/>
      <c r="FDV85" s="268"/>
      <c r="FDW85" s="267"/>
      <c r="FDX85" s="268"/>
      <c r="FDY85" s="267"/>
      <c r="FDZ85" s="268"/>
      <c r="FEA85" s="267"/>
      <c r="FEB85" s="268"/>
      <c r="FEC85" s="267"/>
      <c r="FED85" s="268"/>
      <c r="FEE85" s="267"/>
      <c r="FEF85" s="268"/>
      <c r="FEG85" s="267"/>
      <c r="FEH85" s="268"/>
      <c r="FEI85" s="267"/>
      <c r="FEJ85" s="268"/>
      <c r="FEK85" s="267"/>
      <c r="FEL85" s="268"/>
      <c r="FEM85" s="267"/>
      <c r="FEN85" s="268"/>
      <c r="FEO85" s="267"/>
      <c r="FEP85" s="268"/>
      <c r="FEQ85" s="267"/>
      <c r="FER85" s="268"/>
      <c r="FES85" s="267"/>
      <c r="FET85" s="268"/>
      <c r="FEU85" s="267"/>
      <c r="FEV85" s="268"/>
      <c r="FEW85" s="267"/>
      <c r="FEX85" s="268"/>
      <c r="FEY85" s="267"/>
      <c r="FEZ85" s="268"/>
      <c r="FFA85" s="267"/>
      <c r="FFB85" s="268"/>
      <c r="FFC85" s="267"/>
      <c r="FFD85" s="268"/>
      <c r="FFE85" s="267"/>
      <c r="FFF85" s="268"/>
      <c r="FFG85" s="267"/>
      <c r="FFH85" s="268"/>
      <c r="FFI85" s="267"/>
      <c r="FFJ85" s="268"/>
      <c r="FFK85" s="267"/>
      <c r="FFL85" s="268"/>
      <c r="FFM85" s="267"/>
      <c r="FFN85" s="268"/>
      <c r="FFO85" s="267"/>
      <c r="FFP85" s="268"/>
      <c r="FFQ85" s="267"/>
      <c r="FFR85" s="268"/>
      <c r="FFS85" s="267"/>
      <c r="FFT85" s="268"/>
      <c r="FFU85" s="267"/>
      <c r="FFV85" s="268"/>
      <c r="FFW85" s="267"/>
      <c r="FFX85" s="268"/>
      <c r="FFY85" s="267"/>
      <c r="FFZ85" s="268"/>
      <c r="FGA85" s="267"/>
      <c r="FGB85" s="268"/>
      <c r="FGC85" s="267"/>
      <c r="FGD85" s="268"/>
      <c r="FGE85" s="267"/>
      <c r="FGF85" s="268"/>
      <c r="FGG85" s="267"/>
      <c r="FGH85" s="268"/>
      <c r="FGI85" s="267"/>
      <c r="FGJ85" s="268"/>
      <c r="FGK85" s="267"/>
      <c r="FGL85" s="268"/>
      <c r="FGM85" s="267"/>
      <c r="FGN85" s="268"/>
      <c r="FGO85" s="267"/>
      <c r="FGP85" s="268"/>
      <c r="FGQ85" s="267"/>
      <c r="FGR85" s="268"/>
      <c r="FGS85" s="267"/>
      <c r="FGT85" s="268"/>
      <c r="FGU85" s="267"/>
      <c r="FGV85" s="268"/>
      <c r="FGW85" s="267"/>
      <c r="FGX85" s="268"/>
      <c r="FGY85" s="267"/>
      <c r="FGZ85" s="268"/>
      <c r="FHA85" s="267"/>
      <c r="FHB85" s="268"/>
      <c r="FHC85" s="267"/>
      <c r="FHD85" s="268"/>
      <c r="FHE85" s="267"/>
      <c r="FHF85" s="268"/>
      <c r="FHG85" s="267"/>
      <c r="FHH85" s="268"/>
      <c r="FHI85" s="267"/>
      <c r="FHJ85" s="268"/>
      <c r="FHK85" s="267"/>
      <c r="FHL85" s="268"/>
      <c r="FHM85" s="267"/>
      <c r="FHN85" s="268"/>
      <c r="FHO85" s="267"/>
      <c r="FHP85" s="268"/>
      <c r="FHQ85" s="267"/>
      <c r="FHR85" s="268"/>
      <c r="FHS85" s="267"/>
      <c r="FHT85" s="268"/>
      <c r="FHU85" s="267"/>
      <c r="FHV85" s="268"/>
      <c r="FHW85" s="267"/>
      <c r="FHX85" s="268"/>
      <c r="FHY85" s="267"/>
      <c r="FHZ85" s="268"/>
      <c r="FIA85" s="267"/>
      <c r="FIB85" s="268"/>
      <c r="FIC85" s="267"/>
      <c r="FID85" s="268"/>
      <c r="FIE85" s="267"/>
      <c r="FIF85" s="268"/>
      <c r="FIG85" s="267"/>
      <c r="FIH85" s="268"/>
      <c r="FII85" s="267"/>
      <c r="FIJ85" s="268"/>
      <c r="FIK85" s="267"/>
      <c r="FIL85" s="268"/>
      <c r="FIM85" s="267"/>
      <c r="FIN85" s="268"/>
      <c r="FIO85" s="267"/>
      <c r="FIP85" s="268"/>
      <c r="FIQ85" s="267"/>
      <c r="FIR85" s="268"/>
      <c r="FIS85" s="267"/>
      <c r="FIT85" s="268"/>
      <c r="FIU85" s="267"/>
      <c r="FIV85" s="268"/>
      <c r="FIW85" s="267"/>
      <c r="FIX85" s="268"/>
      <c r="FIY85" s="267"/>
      <c r="FIZ85" s="268"/>
      <c r="FJA85" s="267"/>
      <c r="FJB85" s="268"/>
      <c r="FJC85" s="267"/>
      <c r="FJD85" s="268"/>
      <c r="FJE85" s="267"/>
      <c r="FJF85" s="268"/>
      <c r="FJG85" s="267"/>
      <c r="FJH85" s="268"/>
      <c r="FJI85" s="267"/>
      <c r="FJJ85" s="268"/>
      <c r="FJK85" s="267"/>
      <c r="FJL85" s="268"/>
      <c r="FJM85" s="267"/>
      <c r="FJN85" s="268"/>
      <c r="FJO85" s="267"/>
      <c r="FJP85" s="268"/>
      <c r="FJQ85" s="267"/>
      <c r="FJR85" s="268"/>
      <c r="FJS85" s="267"/>
      <c r="FJT85" s="268"/>
      <c r="FJU85" s="267"/>
      <c r="FJV85" s="268"/>
      <c r="FJW85" s="267"/>
      <c r="FJX85" s="268"/>
      <c r="FJY85" s="267"/>
      <c r="FJZ85" s="268"/>
      <c r="FKA85" s="267"/>
      <c r="FKB85" s="268"/>
      <c r="FKC85" s="267"/>
      <c r="FKD85" s="268"/>
      <c r="FKE85" s="267"/>
      <c r="FKF85" s="268"/>
      <c r="FKG85" s="267"/>
      <c r="FKH85" s="268"/>
      <c r="FKI85" s="267"/>
      <c r="FKJ85" s="268"/>
      <c r="FKK85" s="267"/>
      <c r="FKL85" s="268"/>
      <c r="FKM85" s="267"/>
      <c r="FKN85" s="268"/>
      <c r="FKO85" s="267"/>
      <c r="FKP85" s="268"/>
      <c r="FKQ85" s="267"/>
      <c r="FKR85" s="268"/>
      <c r="FKS85" s="267"/>
      <c r="FKT85" s="268"/>
      <c r="FKU85" s="267"/>
      <c r="FKV85" s="268"/>
      <c r="FKW85" s="267"/>
      <c r="FKX85" s="268"/>
      <c r="FKY85" s="267"/>
      <c r="FKZ85" s="268"/>
      <c r="FLA85" s="267"/>
      <c r="FLB85" s="268"/>
      <c r="FLC85" s="267"/>
      <c r="FLD85" s="268"/>
      <c r="FLE85" s="267"/>
      <c r="FLF85" s="268"/>
      <c r="FLG85" s="267"/>
      <c r="FLH85" s="268"/>
      <c r="FLI85" s="267"/>
      <c r="FLJ85" s="268"/>
      <c r="FLK85" s="267"/>
      <c r="FLL85" s="268"/>
      <c r="FLM85" s="267"/>
      <c r="FLN85" s="268"/>
      <c r="FLO85" s="267"/>
      <c r="FLP85" s="268"/>
      <c r="FLQ85" s="267"/>
      <c r="FLR85" s="268"/>
      <c r="FLS85" s="267"/>
      <c r="FLT85" s="268"/>
      <c r="FLU85" s="267"/>
      <c r="FLV85" s="268"/>
      <c r="FLW85" s="267"/>
      <c r="FLX85" s="268"/>
      <c r="FLY85" s="267"/>
      <c r="FLZ85" s="268"/>
      <c r="FMA85" s="267"/>
      <c r="FMB85" s="268"/>
      <c r="FMC85" s="267"/>
      <c r="FMD85" s="268"/>
      <c r="FME85" s="267"/>
      <c r="FMF85" s="268"/>
      <c r="FMG85" s="267"/>
      <c r="FMH85" s="268"/>
      <c r="FMI85" s="267"/>
      <c r="FMJ85" s="268"/>
      <c r="FMK85" s="267"/>
      <c r="FML85" s="268"/>
      <c r="FMM85" s="267"/>
      <c r="FMN85" s="268"/>
      <c r="FMO85" s="267"/>
      <c r="FMP85" s="268"/>
      <c r="FMQ85" s="267"/>
      <c r="FMR85" s="268"/>
      <c r="FMS85" s="267"/>
      <c r="FMT85" s="268"/>
      <c r="FMU85" s="267"/>
      <c r="FMV85" s="268"/>
      <c r="FMW85" s="267"/>
      <c r="FMX85" s="268"/>
      <c r="FMY85" s="267"/>
      <c r="FMZ85" s="268"/>
      <c r="FNA85" s="267"/>
      <c r="FNB85" s="268"/>
      <c r="FNC85" s="267"/>
      <c r="FND85" s="268"/>
      <c r="FNE85" s="267"/>
      <c r="FNF85" s="268"/>
      <c r="FNG85" s="267"/>
      <c r="FNH85" s="268"/>
      <c r="FNI85" s="267"/>
      <c r="FNJ85" s="268"/>
      <c r="FNK85" s="267"/>
      <c r="FNL85" s="268"/>
      <c r="FNM85" s="267"/>
      <c r="FNN85" s="268"/>
      <c r="FNO85" s="267"/>
      <c r="FNP85" s="268"/>
      <c r="FNQ85" s="267"/>
      <c r="FNR85" s="268"/>
      <c r="FNS85" s="267"/>
      <c r="FNT85" s="268"/>
      <c r="FNU85" s="267"/>
      <c r="FNV85" s="268"/>
      <c r="FNW85" s="267"/>
      <c r="FNX85" s="268"/>
      <c r="FNY85" s="267"/>
      <c r="FNZ85" s="268"/>
      <c r="FOA85" s="267"/>
      <c r="FOB85" s="268"/>
      <c r="FOC85" s="267"/>
      <c r="FOD85" s="268"/>
      <c r="FOE85" s="267"/>
      <c r="FOF85" s="268"/>
      <c r="FOG85" s="267"/>
      <c r="FOH85" s="268"/>
      <c r="FOI85" s="267"/>
      <c r="FOJ85" s="268"/>
      <c r="FOK85" s="267"/>
      <c r="FOL85" s="268"/>
      <c r="FOM85" s="267"/>
      <c r="FON85" s="268"/>
      <c r="FOO85" s="267"/>
      <c r="FOP85" s="268"/>
      <c r="FOQ85" s="267"/>
      <c r="FOR85" s="268"/>
      <c r="FOS85" s="267"/>
      <c r="FOT85" s="268"/>
      <c r="FOU85" s="267"/>
      <c r="FOV85" s="268"/>
      <c r="FOW85" s="267"/>
      <c r="FOX85" s="268"/>
      <c r="FOY85" s="267"/>
      <c r="FOZ85" s="268"/>
      <c r="FPA85" s="267"/>
      <c r="FPB85" s="268"/>
      <c r="FPC85" s="267"/>
      <c r="FPD85" s="268"/>
      <c r="FPE85" s="267"/>
      <c r="FPF85" s="268"/>
      <c r="FPG85" s="267"/>
      <c r="FPH85" s="268"/>
      <c r="FPI85" s="267"/>
      <c r="FPJ85" s="268"/>
      <c r="FPK85" s="267"/>
      <c r="FPL85" s="268"/>
      <c r="FPM85" s="267"/>
      <c r="FPN85" s="268"/>
      <c r="FPO85" s="267"/>
      <c r="FPP85" s="268"/>
      <c r="FPQ85" s="267"/>
      <c r="FPR85" s="268"/>
      <c r="FPS85" s="267"/>
      <c r="FPT85" s="268"/>
      <c r="FPU85" s="267"/>
      <c r="FPV85" s="268"/>
      <c r="FPW85" s="267"/>
      <c r="FPX85" s="268"/>
      <c r="FPY85" s="267"/>
      <c r="FPZ85" s="268"/>
      <c r="FQA85" s="267"/>
      <c r="FQB85" s="268"/>
      <c r="FQC85" s="267"/>
      <c r="FQD85" s="268"/>
      <c r="FQE85" s="267"/>
      <c r="FQF85" s="268"/>
      <c r="FQG85" s="267"/>
      <c r="FQH85" s="268"/>
      <c r="FQI85" s="267"/>
      <c r="FQJ85" s="268"/>
      <c r="FQK85" s="267"/>
      <c r="FQL85" s="268"/>
      <c r="FQM85" s="267"/>
      <c r="FQN85" s="268"/>
      <c r="FQO85" s="267"/>
      <c r="FQP85" s="268"/>
      <c r="FQQ85" s="267"/>
      <c r="FQR85" s="268"/>
      <c r="FQS85" s="267"/>
      <c r="FQT85" s="268"/>
      <c r="FQU85" s="267"/>
      <c r="FQV85" s="268"/>
      <c r="FQW85" s="267"/>
      <c r="FQX85" s="268"/>
      <c r="FQY85" s="267"/>
      <c r="FQZ85" s="268"/>
      <c r="FRA85" s="267"/>
      <c r="FRB85" s="268"/>
      <c r="FRC85" s="267"/>
      <c r="FRD85" s="268"/>
      <c r="FRE85" s="267"/>
      <c r="FRF85" s="268"/>
      <c r="FRG85" s="267"/>
      <c r="FRH85" s="268"/>
      <c r="FRI85" s="267"/>
      <c r="FRJ85" s="268"/>
      <c r="FRK85" s="267"/>
      <c r="FRL85" s="268"/>
      <c r="FRM85" s="267"/>
      <c r="FRN85" s="268"/>
      <c r="FRO85" s="267"/>
      <c r="FRP85" s="268"/>
      <c r="FRQ85" s="267"/>
      <c r="FRR85" s="268"/>
      <c r="FRS85" s="267"/>
      <c r="FRT85" s="268"/>
      <c r="FRU85" s="267"/>
      <c r="FRV85" s="268"/>
      <c r="FRW85" s="267"/>
      <c r="FRX85" s="268"/>
      <c r="FRY85" s="267"/>
      <c r="FRZ85" s="268"/>
      <c r="FSA85" s="267"/>
      <c r="FSB85" s="268"/>
      <c r="FSC85" s="267"/>
      <c r="FSD85" s="268"/>
      <c r="FSE85" s="267"/>
      <c r="FSF85" s="268"/>
      <c r="FSG85" s="267"/>
      <c r="FSH85" s="268"/>
      <c r="FSI85" s="267"/>
      <c r="FSJ85" s="268"/>
      <c r="FSK85" s="267"/>
      <c r="FSL85" s="268"/>
      <c r="FSM85" s="267"/>
      <c r="FSN85" s="268"/>
      <c r="FSO85" s="267"/>
      <c r="FSP85" s="268"/>
      <c r="FSQ85" s="267"/>
      <c r="FSR85" s="268"/>
      <c r="FSS85" s="267"/>
      <c r="FST85" s="268"/>
      <c r="FSU85" s="267"/>
      <c r="FSV85" s="268"/>
      <c r="FSW85" s="267"/>
      <c r="FSX85" s="268"/>
      <c r="FSY85" s="267"/>
      <c r="FSZ85" s="268"/>
      <c r="FTA85" s="267"/>
      <c r="FTB85" s="268"/>
      <c r="FTC85" s="267"/>
      <c r="FTD85" s="268"/>
      <c r="FTE85" s="267"/>
      <c r="FTF85" s="268"/>
      <c r="FTG85" s="267"/>
      <c r="FTH85" s="268"/>
      <c r="FTI85" s="267"/>
      <c r="FTJ85" s="268"/>
      <c r="FTK85" s="267"/>
      <c r="FTL85" s="268"/>
      <c r="FTM85" s="267"/>
      <c r="FTN85" s="268"/>
      <c r="FTO85" s="267"/>
      <c r="FTP85" s="268"/>
      <c r="FTQ85" s="267"/>
      <c r="FTR85" s="268"/>
      <c r="FTS85" s="267"/>
      <c r="FTT85" s="268"/>
      <c r="FTU85" s="267"/>
      <c r="FTV85" s="268"/>
      <c r="FTW85" s="267"/>
      <c r="FTX85" s="268"/>
      <c r="FTY85" s="267"/>
      <c r="FTZ85" s="268"/>
      <c r="FUA85" s="267"/>
      <c r="FUB85" s="268"/>
      <c r="FUC85" s="267"/>
      <c r="FUD85" s="268"/>
      <c r="FUE85" s="267"/>
      <c r="FUF85" s="268"/>
      <c r="FUG85" s="267"/>
      <c r="FUH85" s="268"/>
      <c r="FUI85" s="267"/>
      <c r="FUJ85" s="268"/>
      <c r="FUK85" s="267"/>
      <c r="FUL85" s="268"/>
      <c r="FUM85" s="267"/>
      <c r="FUN85" s="268"/>
      <c r="FUO85" s="267"/>
      <c r="FUP85" s="268"/>
      <c r="FUQ85" s="267"/>
      <c r="FUR85" s="268"/>
      <c r="FUS85" s="267"/>
      <c r="FUT85" s="268"/>
      <c r="FUU85" s="267"/>
      <c r="FUV85" s="268"/>
      <c r="FUW85" s="267"/>
      <c r="FUX85" s="268"/>
      <c r="FUY85" s="267"/>
      <c r="FUZ85" s="268"/>
      <c r="FVA85" s="267"/>
      <c r="FVB85" s="268"/>
      <c r="FVC85" s="267"/>
      <c r="FVD85" s="268"/>
      <c r="FVE85" s="267"/>
      <c r="FVF85" s="268"/>
      <c r="FVG85" s="267"/>
      <c r="FVH85" s="268"/>
      <c r="FVI85" s="267"/>
      <c r="FVJ85" s="268"/>
      <c r="FVK85" s="267"/>
      <c r="FVL85" s="268"/>
      <c r="FVM85" s="267"/>
      <c r="FVN85" s="268"/>
      <c r="FVO85" s="267"/>
      <c r="FVP85" s="268"/>
      <c r="FVQ85" s="267"/>
      <c r="FVR85" s="268"/>
      <c r="FVS85" s="267"/>
      <c r="FVT85" s="268"/>
      <c r="FVU85" s="267"/>
      <c r="FVV85" s="268"/>
      <c r="FVW85" s="267"/>
      <c r="FVX85" s="268"/>
      <c r="FVY85" s="267"/>
      <c r="FVZ85" s="268"/>
      <c r="FWA85" s="267"/>
      <c r="FWB85" s="268"/>
      <c r="FWC85" s="267"/>
      <c r="FWD85" s="268"/>
      <c r="FWE85" s="267"/>
      <c r="FWF85" s="268"/>
      <c r="FWG85" s="267"/>
      <c r="FWH85" s="268"/>
      <c r="FWI85" s="267"/>
      <c r="FWJ85" s="268"/>
      <c r="FWK85" s="267"/>
      <c r="FWL85" s="268"/>
      <c r="FWM85" s="267"/>
      <c r="FWN85" s="268"/>
      <c r="FWO85" s="267"/>
      <c r="FWP85" s="268"/>
      <c r="FWQ85" s="267"/>
      <c r="FWR85" s="268"/>
      <c r="FWS85" s="267"/>
      <c r="FWT85" s="268"/>
      <c r="FWU85" s="267"/>
      <c r="FWV85" s="268"/>
      <c r="FWW85" s="267"/>
      <c r="FWX85" s="268"/>
      <c r="FWY85" s="267"/>
      <c r="FWZ85" s="268"/>
      <c r="FXA85" s="267"/>
      <c r="FXB85" s="268"/>
      <c r="FXC85" s="267"/>
      <c r="FXD85" s="268"/>
      <c r="FXE85" s="267"/>
      <c r="FXF85" s="268"/>
      <c r="FXG85" s="267"/>
      <c r="FXH85" s="268"/>
      <c r="FXI85" s="267"/>
      <c r="FXJ85" s="268"/>
      <c r="FXK85" s="267"/>
      <c r="FXL85" s="268"/>
      <c r="FXM85" s="267"/>
      <c r="FXN85" s="268"/>
      <c r="FXO85" s="267"/>
      <c r="FXP85" s="268"/>
      <c r="FXQ85" s="267"/>
      <c r="FXR85" s="268"/>
      <c r="FXS85" s="267"/>
      <c r="FXT85" s="268"/>
      <c r="FXU85" s="267"/>
      <c r="FXV85" s="268"/>
      <c r="FXW85" s="267"/>
      <c r="FXX85" s="268"/>
      <c r="FXY85" s="267"/>
      <c r="FXZ85" s="268"/>
      <c r="FYA85" s="267"/>
      <c r="FYB85" s="268"/>
      <c r="FYC85" s="267"/>
      <c r="FYD85" s="268"/>
      <c r="FYE85" s="267"/>
      <c r="FYF85" s="268"/>
      <c r="FYG85" s="267"/>
      <c r="FYH85" s="268"/>
      <c r="FYI85" s="267"/>
      <c r="FYJ85" s="268"/>
      <c r="FYK85" s="267"/>
      <c r="FYL85" s="268"/>
      <c r="FYM85" s="267"/>
      <c r="FYN85" s="268"/>
      <c r="FYO85" s="267"/>
      <c r="FYP85" s="268"/>
      <c r="FYQ85" s="267"/>
      <c r="FYR85" s="268"/>
      <c r="FYS85" s="267"/>
      <c r="FYT85" s="268"/>
      <c r="FYU85" s="267"/>
      <c r="FYV85" s="268"/>
      <c r="FYW85" s="267"/>
      <c r="FYX85" s="268"/>
      <c r="FYY85" s="267"/>
      <c r="FYZ85" s="268"/>
      <c r="FZA85" s="267"/>
      <c r="FZB85" s="268"/>
      <c r="FZC85" s="267"/>
      <c r="FZD85" s="268"/>
      <c r="FZE85" s="267"/>
      <c r="FZF85" s="268"/>
      <c r="FZG85" s="267"/>
      <c r="FZH85" s="268"/>
      <c r="FZI85" s="267"/>
      <c r="FZJ85" s="268"/>
      <c r="FZK85" s="267"/>
      <c r="FZL85" s="268"/>
      <c r="FZM85" s="267"/>
      <c r="FZN85" s="268"/>
      <c r="FZO85" s="267"/>
      <c r="FZP85" s="268"/>
      <c r="FZQ85" s="267"/>
      <c r="FZR85" s="268"/>
      <c r="FZS85" s="267"/>
      <c r="FZT85" s="268"/>
      <c r="FZU85" s="267"/>
      <c r="FZV85" s="268"/>
      <c r="FZW85" s="267"/>
      <c r="FZX85" s="268"/>
      <c r="FZY85" s="267"/>
      <c r="FZZ85" s="268"/>
      <c r="GAA85" s="267"/>
      <c r="GAB85" s="268"/>
      <c r="GAC85" s="267"/>
      <c r="GAD85" s="268"/>
      <c r="GAE85" s="267"/>
      <c r="GAF85" s="268"/>
      <c r="GAG85" s="267"/>
      <c r="GAH85" s="268"/>
      <c r="GAI85" s="267"/>
      <c r="GAJ85" s="268"/>
      <c r="GAK85" s="267"/>
      <c r="GAL85" s="268"/>
      <c r="GAM85" s="267"/>
      <c r="GAN85" s="268"/>
      <c r="GAO85" s="267"/>
      <c r="GAP85" s="268"/>
      <c r="GAQ85" s="267"/>
      <c r="GAR85" s="268"/>
      <c r="GAS85" s="267"/>
      <c r="GAT85" s="268"/>
      <c r="GAU85" s="267"/>
      <c r="GAV85" s="268"/>
      <c r="GAW85" s="267"/>
      <c r="GAX85" s="268"/>
      <c r="GAY85" s="267"/>
      <c r="GAZ85" s="268"/>
      <c r="GBA85" s="267"/>
      <c r="GBB85" s="268"/>
      <c r="GBC85" s="267"/>
      <c r="GBD85" s="268"/>
      <c r="GBE85" s="267"/>
      <c r="GBF85" s="268"/>
      <c r="GBG85" s="267"/>
      <c r="GBH85" s="268"/>
      <c r="GBI85" s="267"/>
      <c r="GBJ85" s="268"/>
      <c r="GBK85" s="267"/>
      <c r="GBL85" s="268"/>
      <c r="GBM85" s="267"/>
      <c r="GBN85" s="268"/>
      <c r="GBO85" s="267"/>
      <c r="GBP85" s="268"/>
      <c r="GBQ85" s="267"/>
      <c r="GBR85" s="268"/>
      <c r="GBS85" s="267"/>
      <c r="GBT85" s="268"/>
      <c r="GBU85" s="267"/>
      <c r="GBV85" s="268"/>
      <c r="GBW85" s="267"/>
      <c r="GBX85" s="268"/>
      <c r="GBY85" s="267"/>
      <c r="GBZ85" s="268"/>
      <c r="GCA85" s="267"/>
      <c r="GCB85" s="268"/>
      <c r="GCC85" s="267"/>
      <c r="GCD85" s="268"/>
      <c r="GCE85" s="267"/>
      <c r="GCF85" s="268"/>
      <c r="GCG85" s="267"/>
      <c r="GCH85" s="268"/>
      <c r="GCI85" s="267"/>
      <c r="GCJ85" s="268"/>
      <c r="GCK85" s="267"/>
      <c r="GCL85" s="268"/>
      <c r="GCM85" s="267"/>
      <c r="GCN85" s="268"/>
      <c r="GCO85" s="267"/>
      <c r="GCP85" s="268"/>
      <c r="GCQ85" s="267"/>
      <c r="GCR85" s="268"/>
      <c r="GCS85" s="267"/>
      <c r="GCT85" s="268"/>
      <c r="GCU85" s="267"/>
      <c r="GCV85" s="268"/>
      <c r="GCW85" s="267"/>
      <c r="GCX85" s="268"/>
      <c r="GCY85" s="267"/>
      <c r="GCZ85" s="268"/>
      <c r="GDA85" s="267"/>
      <c r="GDB85" s="268"/>
      <c r="GDC85" s="267"/>
      <c r="GDD85" s="268"/>
      <c r="GDE85" s="267"/>
      <c r="GDF85" s="268"/>
      <c r="GDG85" s="267"/>
      <c r="GDH85" s="268"/>
      <c r="GDI85" s="267"/>
      <c r="GDJ85" s="268"/>
      <c r="GDK85" s="267"/>
      <c r="GDL85" s="268"/>
      <c r="GDM85" s="267"/>
      <c r="GDN85" s="268"/>
      <c r="GDO85" s="267"/>
      <c r="GDP85" s="268"/>
      <c r="GDQ85" s="267"/>
      <c r="GDR85" s="268"/>
      <c r="GDS85" s="267"/>
      <c r="GDT85" s="268"/>
      <c r="GDU85" s="267"/>
      <c r="GDV85" s="268"/>
      <c r="GDW85" s="267"/>
      <c r="GDX85" s="268"/>
      <c r="GDY85" s="267"/>
      <c r="GDZ85" s="268"/>
      <c r="GEA85" s="267"/>
      <c r="GEB85" s="268"/>
      <c r="GEC85" s="267"/>
      <c r="GED85" s="268"/>
      <c r="GEE85" s="267"/>
      <c r="GEF85" s="268"/>
      <c r="GEG85" s="267"/>
      <c r="GEH85" s="268"/>
      <c r="GEI85" s="267"/>
      <c r="GEJ85" s="268"/>
      <c r="GEK85" s="267"/>
      <c r="GEL85" s="268"/>
      <c r="GEM85" s="267"/>
      <c r="GEN85" s="268"/>
      <c r="GEO85" s="267"/>
      <c r="GEP85" s="268"/>
      <c r="GEQ85" s="267"/>
      <c r="GER85" s="268"/>
      <c r="GES85" s="267"/>
      <c r="GET85" s="268"/>
      <c r="GEU85" s="267"/>
      <c r="GEV85" s="268"/>
      <c r="GEW85" s="267"/>
      <c r="GEX85" s="268"/>
      <c r="GEY85" s="267"/>
      <c r="GEZ85" s="268"/>
      <c r="GFA85" s="267"/>
      <c r="GFB85" s="268"/>
      <c r="GFC85" s="267"/>
      <c r="GFD85" s="268"/>
      <c r="GFE85" s="267"/>
      <c r="GFF85" s="268"/>
      <c r="GFG85" s="267"/>
      <c r="GFH85" s="268"/>
      <c r="GFI85" s="267"/>
      <c r="GFJ85" s="268"/>
      <c r="GFK85" s="267"/>
      <c r="GFL85" s="268"/>
      <c r="GFM85" s="267"/>
      <c r="GFN85" s="268"/>
      <c r="GFO85" s="267"/>
      <c r="GFP85" s="268"/>
      <c r="GFQ85" s="267"/>
      <c r="GFR85" s="268"/>
      <c r="GFS85" s="267"/>
      <c r="GFT85" s="268"/>
      <c r="GFU85" s="267"/>
      <c r="GFV85" s="268"/>
      <c r="GFW85" s="267"/>
      <c r="GFX85" s="268"/>
      <c r="GFY85" s="267"/>
      <c r="GFZ85" s="268"/>
      <c r="GGA85" s="267"/>
      <c r="GGB85" s="268"/>
      <c r="GGC85" s="267"/>
      <c r="GGD85" s="268"/>
      <c r="GGE85" s="267"/>
      <c r="GGF85" s="268"/>
      <c r="GGG85" s="267"/>
      <c r="GGH85" s="268"/>
      <c r="GGI85" s="267"/>
      <c r="GGJ85" s="268"/>
      <c r="GGK85" s="267"/>
      <c r="GGL85" s="268"/>
      <c r="GGM85" s="267"/>
      <c r="GGN85" s="268"/>
      <c r="GGO85" s="267"/>
      <c r="GGP85" s="268"/>
      <c r="GGQ85" s="267"/>
      <c r="GGR85" s="268"/>
      <c r="GGS85" s="267"/>
      <c r="GGT85" s="268"/>
      <c r="GGU85" s="267"/>
      <c r="GGV85" s="268"/>
      <c r="GGW85" s="267"/>
      <c r="GGX85" s="268"/>
      <c r="GGY85" s="267"/>
      <c r="GGZ85" s="268"/>
      <c r="GHA85" s="267"/>
      <c r="GHB85" s="268"/>
      <c r="GHC85" s="267"/>
      <c r="GHD85" s="268"/>
      <c r="GHE85" s="267"/>
      <c r="GHF85" s="268"/>
      <c r="GHG85" s="267"/>
      <c r="GHH85" s="268"/>
      <c r="GHI85" s="267"/>
      <c r="GHJ85" s="268"/>
      <c r="GHK85" s="267"/>
      <c r="GHL85" s="268"/>
      <c r="GHM85" s="267"/>
      <c r="GHN85" s="268"/>
      <c r="GHO85" s="267"/>
      <c r="GHP85" s="268"/>
      <c r="GHQ85" s="267"/>
      <c r="GHR85" s="268"/>
      <c r="GHS85" s="267"/>
      <c r="GHT85" s="268"/>
      <c r="GHU85" s="267"/>
      <c r="GHV85" s="268"/>
      <c r="GHW85" s="267"/>
      <c r="GHX85" s="268"/>
      <c r="GHY85" s="267"/>
      <c r="GHZ85" s="268"/>
      <c r="GIA85" s="267"/>
      <c r="GIB85" s="268"/>
      <c r="GIC85" s="267"/>
      <c r="GID85" s="268"/>
      <c r="GIE85" s="267"/>
      <c r="GIF85" s="268"/>
      <c r="GIG85" s="267"/>
      <c r="GIH85" s="268"/>
      <c r="GII85" s="267"/>
      <c r="GIJ85" s="268"/>
      <c r="GIK85" s="267"/>
      <c r="GIL85" s="268"/>
      <c r="GIM85" s="267"/>
      <c r="GIN85" s="268"/>
      <c r="GIO85" s="267"/>
      <c r="GIP85" s="268"/>
      <c r="GIQ85" s="267"/>
      <c r="GIR85" s="268"/>
      <c r="GIS85" s="267"/>
      <c r="GIT85" s="268"/>
      <c r="GIU85" s="267"/>
      <c r="GIV85" s="268"/>
      <c r="GIW85" s="267"/>
      <c r="GIX85" s="268"/>
      <c r="GIY85" s="267"/>
      <c r="GIZ85" s="268"/>
      <c r="GJA85" s="267"/>
      <c r="GJB85" s="268"/>
      <c r="GJC85" s="267"/>
      <c r="GJD85" s="268"/>
      <c r="GJE85" s="267"/>
      <c r="GJF85" s="268"/>
      <c r="GJG85" s="267"/>
      <c r="GJH85" s="268"/>
      <c r="GJI85" s="267"/>
      <c r="GJJ85" s="268"/>
      <c r="GJK85" s="267"/>
      <c r="GJL85" s="268"/>
      <c r="GJM85" s="267"/>
      <c r="GJN85" s="268"/>
      <c r="GJO85" s="267"/>
      <c r="GJP85" s="268"/>
      <c r="GJQ85" s="267"/>
      <c r="GJR85" s="268"/>
      <c r="GJS85" s="267"/>
      <c r="GJT85" s="268"/>
      <c r="GJU85" s="267"/>
      <c r="GJV85" s="268"/>
      <c r="GJW85" s="267"/>
      <c r="GJX85" s="268"/>
      <c r="GJY85" s="267"/>
      <c r="GJZ85" s="268"/>
      <c r="GKA85" s="267"/>
      <c r="GKB85" s="268"/>
      <c r="GKC85" s="267"/>
      <c r="GKD85" s="268"/>
      <c r="GKE85" s="267"/>
      <c r="GKF85" s="268"/>
      <c r="GKG85" s="267"/>
      <c r="GKH85" s="268"/>
      <c r="GKI85" s="267"/>
      <c r="GKJ85" s="268"/>
      <c r="GKK85" s="267"/>
      <c r="GKL85" s="268"/>
      <c r="GKM85" s="267"/>
      <c r="GKN85" s="268"/>
      <c r="GKO85" s="267"/>
      <c r="GKP85" s="268"/>
      <c r="GKQ85" s="267"/>
      <c r="GKR85" s="268"/>
      <c r="GKS85" s="267"/>
      <c r="GKT85" s="268"/>
      <c r="GKU85" s="267"/>
      <c r="GKV85" s="268"/>
      <c r="GKW85" s="267"/>
      <c r="GKX85" s="268"/>
      <c r="GKY85" s="267"/>
      <c r="GKZ85" s="268"/>
      <c r="GLA85" s="267"/>
      <c r="GLB85" s="268"/>
      <c r="GLC85" s="267"/>
      <c r="GLD85" s="268"/>
      <c r="GLE85" s="267"/>
      <c r="GLF85" s="268"/>
      <c r="GLG85" s="267"/>
      <c r="GLH85" s="268"/>
      <c r="GLI85" s="267"/>
      <c r="GLJ85" s="268"/>
      <c r="GLK85" s="267"/>
      <c r="GLL85" s="268"/>
      <c r="GLM85" s="267"/>
      <c r="GLN85" s="268"/>
      <c r="GLO85" s="267"/>
      <c r="GLP85" s="268"/>
      <c r="GLQ85" s="267"/>
      <c r="GLR85" s="268"/>
      <c r="GLS85" s="267"/>
      <c r="GLT85" s="268"/>
      <c r="GLU85" s="267"/>
      <c r="GLV85" s="268"/>
      <c r="GLW85" s="267"/>
      <c r="GLX85" s="268"/>
      <c r="GLY85" s="267"/>
      <c r="GLZ85" s="268"/>
      <c r="GMA85" s="267"/>
      <c r="GMB85" s="268"/>
      <c r="GMC85" s="267"/>
      <c r="GMD85" s="268"/>
      <c r="GME85" s="267"/>
      <c r="GMF85" s="268"/>
      <c r="GMG85" s="267"/>
      <c r="GMH85" s="268"/>
      <c r="GMI85" s="267"/>
      <c r="GMJ85" s="268"/>
      <c r="GMK85" s="267"/>
      <c r="GML85" s="268"/>
      <c r="GMM85" s="267"/>
      <c r="GMN85" s="268"/>
      <c r="GMO85" s="267"/>
      <c r="GMP85" s="268"/>
      <c r="GMQ85" s="267"/>
      <c r="GMR85" s="268"/>
      <c r="GMS85" s="267"/>
      <c r="GMT85" s="268"/>
      <c r="GMU85" s="267"/>
      <c r="GMV85" s="268"/>
      <c r="GMW85" s="267"/>
      <c r="GMX85" s="268"/>
      <c r="GMY85" s="267"/>
      <c r="GMZ85" s="268"/>
      <c r="GNA85" s="267"/>
      <c r="GNB85" s="268"/>
      <c r="GNC85" s="267"/>
      <c r="GND85" s="268"/>
      <c r="GNE85" s="267"/>
      <c r="GNF85" s="268"/>
      <c r="GNG85" s="267"/>
      <c r="GNH85" s="268"/>
      <c r="GNI85" s="267"/>
      <c r="GNJ85" s="268"/>
      <c r="GNK85" s="267"/>
      <c r="GNL85" s="268"/>
      <c r="GNM85" s="267"/>
      <c r="GNN85" s="268"/>
      <c r="GNO85" s="267"/>
      <c r="GNP85" s="268"/>
      <c r="GNQ85" s="267"/>
      <c r="GNR85" s="268"/>
      <c r="GNS85" s="267"/>
      <c r="GNT85" s="268"/>
      <c r="GNU85" s="267"/>
      <c r="GNV85" s="268"/>
      <c r="GNW85" s="267"/>
      <c r="GNX85" s="268"/>
      <c r="GNY85" s="267"/>
      <c r="GNZ85" s="268"/>
      <c r="GOA85" s="267"/>
      <c r="GOB85" s="268"/>
      <c r="GOC85" s="267"/>
      <c r="GOD85" s="268"/>
      <c r="GOE85" s="267"/>
      <c r="GOF85" s="268"/>
      <c r="GOG85" s="267"/>
      <c r="GOH85" s="268"/>
      <c r="GOI85" s="267"/>
      <c r="GOJ85" s="268"/>
      <c r="GOK85" s="267"/>
      <c r="GOL85" s="268"/>
      <c r="GOM85" s="267"/>
      <c r="GON85" s="268"/>
      <c r="GOO85" s="267"/>
      <c r="GOP85" s="268"/>
      <c r="GOQ85" s="267"/>
      <c r="GOR85" s="268"/>
      <c r="GOS85" s="267"/>
      <c r="GOT85" s="268"/>
      <c r="GOU85" s="267"/>
      <c r="GOV85" s="268"/>
      <c r="GOW85" s="267"/>
      <c r="GOX85" s="268"/>
      <c r="GOY85" s="267"/>
      <c r="GOZ85" s="268"/>
      <c r="GPA85" s="267"/>
      <c r="GPB85" s="268"/>
      <c r="GPC85" s="267"/>
      <c r="GPD85" s="268"/>
      <c r="GPE85" s="267"/>
      <c r="GPF85" s="268"/>
      <c r="GPG85" s="267"/>
      <c r="GPH85" s="268"/>
      <c r="GPI85" s="267"/>
      <c r="GPJ85" s="268"/>
      <c r="GPK85" s="267"/>
      <c r="GPL85" s="268"/>
      <c r="GPM85" s="267"/>
      <c r="GPN85" s="268"/>
      <c r="GPO85" s="267"/>
      <c r="GPP85" s="268"/>
      <c r="GPQ85" s="267"/>
      <c r="GPR85" s="268"/>
      <c r="GPS85" s="267"/>
      <c r="GPT85" s="268"/>
      <c r="GPU85" s="267"/>
      <c r="GPV85" s="268"/>
      <c r="GPW85" s="267"/>
      <c r="GPX85" s="268"/>
      <c r="GPY85" s="267"/>
      <c r="GPZ85" s="268"/>
      <c r="GQA85" s="267"/>
      <c r="GQB85" s="268"/>
      <c r="GQC85" s="267"/>
      <c r="GQD85" s="268"/>
      <c r="GQE85" s="267"/>
      <c r="GQF85" s="268"/>
      <c r="GQG85" s="267"/>
      <c r="GQH85" s="268"/>
      <c r="GQI85" s="267"/>
      <c r="GQJ85" s="268"/>
      <c r="GQK85" s="267"/>
      <c r="GQL85" s="268"/>
      <c r="GQM85" s="267"/>
      <c r="GQN85" s="268"/>
      <c r="GQO85" s="267"/>
      <c r="GQP85" s="268"/>
      <c r="GQQ85" s="267"/>
      <c r="GQR85" s="268"/>
      <c r="GQS85" s="267"/>
      <c r="GQT85" s="268"/>
      <c r="GQU85" s="267"/>
      <c r="GQV85" s="268"/>
      <c r="GQW85" s="267"/>
      <c r="GQX85" s="268"/>
      <c r="GQY85" s="267"/>
      <c r="GQZ85" s="268"/>
      <c r="GRA85" s="267"/>
      <c r="GRB85" s="268"/>
      <c r="GRC85" s="267"/>
      <c r="GRD85" s="268"/>
      <c r="GRE85" s="267"/>
      <c r="GRF85" s="268"/>
      <c r="GRG85" s="267"/>
      <c r="GRH85" s="268"/>
      <c r="GRI85" s="267"/>
      <c r="GRJ85" s="268"/>
      <c r="GRK85" s="267"/>
      <c r="GRL85" s="268"/>
      <c r="GRM85" s="267"/>
      <c r="GRN85" s="268"/>
      <c r="GRO85" s="267"/>
      <c r="GRP85" s="268"/>
      <c r="GRQ85" s="267"/>
      <c r="GRR85" s="268"/>
      <c r="GRS85" s="267"/>
      <c r="GRT85" s="268"/>
      <c r="GRU85" s="267"/>
      <c r="GRV85" s="268"/>
      <c r="GRW85" s="267"/>
      <c r="GRX85" s="268"/>
      <c r="GRY85" s="267"/>
      <c r="GRZ85" s="268"/>
      <c r="GSA85" s="267"/>
      <c r="GSB85" s="268"/>
      <c r="GSC85" s="267"/>
      <c r="GSD85" s="268"/>
      <c r="GSE85" s="267"/>
      <c r="GSF85" s="268"/>
      <c r="GSG85" s="267"/>
      <c r="GSH85" s="268"/>
      <c r="GSI85" s="267"/>
      <c r="GSJ85" s="268"/>
      <c r="GSK85" s="267"/>
      <c r="GSL85" s="268"/>
      <c r="GSM85" s="267"/>
      <c r="GSN85" s="268"/>
      <c r="GSO85" s="267"/>
      <c r="GSP85" s="268"/>
      <c r="GSQ85" s="267"/>
      <c r="GSR85" s="268"/>
      <c r="GSS85" s="267"/>
      <c r="GST85" s="268"/>
      <c r="GSU85" s="267"/>
      <c r="GSV85" s="268"/>
      <c r="GSW85" s="267"/>
      <c r="GSX85" s="268"/>
      <c r="GSY85" s="267"/>
      <c r="GSZ85" s="268"/>
      <c r="GTA85" s="267"/>
      <c r="GTB85" s="268"/>
      <c r="GTC85" s="267"/>
      <c r="GTD85" s="268"/>
      <c r="GTE85" s="267"/>
      <c r="GTF85" s="268"/>
      <c r="GTG85" s="267"/>
      <c r="GTH85" s="268"/>
      <c r="GTI85" s="267"/>
      <c r="GTJ85" s="268"/>
      <c r="GTK85" s="267"/>
      <c r="GTL85" s="268"/>
      <c r="GTM85" s="267"/>
      <c r="GTN85" s="268"/>
      <c r="GTO85" s="267"/>
      <c r="GTP85" s="268"/>
      <c r="GTQ85" s="267"/>
      <c r="GTR85" s="268"/>
      <c r="GTS85" s="267"/>
      <c r="GTT85" s="268"/>
      <c r="GTU85" s="267"/>
      <c r="GTV85" s="268"/>
      <c r="GTW85" s="267"/>
      <c r="GTX85" s="268"/>
      <c r="GTY85" s="267"/>
      <c r="GTZ85" s="268"/>
      <c r="GUA85" s="267"/>
      <c r="GUB85" s="268"/>
      <c r="GUC85" s="267"/>
      <c r="GUD85" s="268"/>
      <c r="GUE85" s="267"/>
      <c r="GUF85" s="268"/>
      <c r="GUG85" s="267"/>
      <c r="GUH85" s="268"/>
      <c r="GUI85" s="267"/>
      <c r="GUJ85" s="268"/>
      <c r="GUK85" s="267"/>
      <c r="GUL85" s="268"/>
      <c r="GUM85" s="267"/>
      <c r="GUN85" s="268"/>
      <c r="GUO85" s="267"/>
      <c r="GUP85" s="268"/>
      <c r="GUQ85" s="267"/>
      <c r="GUR85" s="268"/>
      <c r="GUS85" s="267"/>
      <c r="GUT85" s="268"/>
      <c r="GUU85" s="267"/>
      <c r="GUV85" s="268"/>
      <c r="GUW85" s="267"/>
      <c r="GUX85" s="268"/>
      <c r="GUY85" s="267"/>
      <c r="GUZ85" s="268"/>
      <c r="GVA85" s="267"/>
      <c r="GVB85" s="268"/>
      <c r="GVC85" s="267"/>
      <c r="GVD85" s="268"/>
      <c r="GVE85" s="267"/>
      <c r="GVF85" s="268"/>
      <c r="GVG85" s="267"/>
      <c r="GVH85" s="268"/>
      <c r="GVI85" s="267"/>
      <c r="GVJ85" s="268"/>
      <c r="GVK85" s="267"/>
      <c r="GVL85" s="268"/>
      <c r="GVM85" s="267"/>
      <c r="GVN85" s="268"/>
      <c r="GVO85" s="267"/>
      <c r="GVP85" s="268"/>
      <c r="GVQ85" s="267"/>
      <c r="GVR85" s="268"/>
      <c r="GVS85" s="267"/>
      <c r="GVT85" s="268"/>
      <c r="GVU85" s="267"/>
      <c r="GVV85" s="268"/>
      <c r="GVW85" s="267"/>
      <c r="GVX85" s="268"/>
      <c r="GVY85" s="267"/>
      <c r="GVZ85" s="268"/>
      <c r="GWA85" s="267"/>
      <c r="GWB85" s="268"/>
      <c r="GWC85" s="267"/>
      <c r="GWD85" s="268"/>
      <c r="GWE85" s="267"/>
      <c r="GWF85" s="268"/>
      <c r="GWG85" s="267"/>
      <c r="GWH85" s="268"/>
      <c r="GWI85" s="267"/>
      <c r="GWJ85" s="268"/>
      <c r="GWK85" s="267"/>
      <c r="GWL85" s="268"/>
      <c r="GWM85" s="267"/>
      <c r="GWN85" s="268"/>
      <c r="GWO85" s="267"/>
      <c r="GWP85" s="268"/>
      <c r="GWQ85" s="267"/>
      <c r="GWR85" s="268"/>
      <c r="GWS85" s="267"/>
      <c r="GWT85" s="268"/>
      <c r="GWU85" s="267"/>
      <c r="GWV85" s="268"/>
      <c r="GWW85" s="267"/>
      <c r="GWX85" s="268"/>
      <c r="GWY85" s="267"/>
      <c r="GWZ85" s="268"/>
      <c r="GXA85" s="267"/>
      <c r="GXB85" s="268"/>
      <c r="GXC85" s="267"/>
      <c r="GXD85" s="268"/>
      <c r="GXE85" s="267"/>
      <c r="GXF85" s="268"/>
      <c r="GXG85" s="267"/>
      <c r="GXH85" s="268"/>
      <c r="GXI85" s="267"/>
      <c r="GXJ85" s="268"/>
      <c r="GXK85" s="267"/>
      <c r="GXL85" s="268"/>
      <c r="GXM85" s="267"/>
      <c r="GXN85" s="268"/>
      <c r="GXO85" s="267"/>
      <c r="GXP85" s="268"/>
      <c r="GXQ85" s="267"/>
      <c r="GXR85" s="268"/>
      <c r="GXS85" s="267"/>
      <c r="GXT85" s="268"/>
      <c r="GXU85" s="267"/>
      <c r="GXV85" s="268"/>
      <c r="GXW85" s="267"/>
      <c r="GXX85" s="268"/>
      <c r="GXY85" s="267"/>
      <c r="GXZ85" s="268"/>
      <c r="GYA85" s="267"/>
      <c r="GYB85" s="268"/>
      <c r="GYC85" s="267"/>
      <c r="GYD85" s="268"/>
      <c r="GYE85" s="267"/>
      <c r="GYF85" s="268"/>
      <c r="GYG85" s="267"/>
      <c r="GYH85" s="268"/>
      <c r="GYI85" s="267"/>
      <c r="GYJ85" s="268"/>
      <c r="GYK85" s="267"/>
      <c r="GYL85" s="268"/>
      <c r="GYM85" s="267"/>
      <c r="GYN85" s="268"/>
      <c r="GYO85" s="267"/>
      <c r="GYP85" s="268"/>
      <c r="GYQ85" s="267"/>
      <c r="GYR85" s="268"/>
      <c r="GYS85" s="267"/>
      <c r="GYT85" s="268"/>
      <c r="GYU85" s="267"/>
      <c r="GYV85" s="268"/>
      <c r="GYW85" s="267"/>
      <c r="GYX85" s="268"/>
      <c r="GYY85" s="267"/>
      <c r="GYZ85" s="268"/>
      <c r="GZA85" s="267"/>
      <c r="GZB85" s="268"/>
      <c r="GZC85" s="267"/>
      <c r="GZD85" s="268"/>
      <c r="GZE85" s="267"/>
      <c r="GZF85" s="268"/>
      <c r="GZG85" s="267"/>
      <c r="GZH85" s="268"/>
      <c r="GZI85" s="267"/>
      <c r="GZJ85" s="268"/>
      <c r="GZK85" s="267"/>
      <c r="GZL85" s="268"/>
      <c r="GZM85" s="267"/>
      <c r="GZN85" s="268"/>
      <c r="GZO85" s="267"/>
      <c r="GZP85" s="268"/>
      <c r="GZQ85" s="267"/>
      <c r="GZR85" s="268"/>
      <c r="GZS85" s="267"/>
      <c r="GZT85" s="268"/>
      <c r="GZU85" s="267"/>
      <c r="GZV85" s="268"/>
      <c r="GZW85" s="267"/>
      <c r="GZX85" s="268"/>
      <c r="GZY85" s="267"/>
      <c r="GZZ85" s="268"/>
      <c r="HAA85" s="267"/>
      <c r="HAB85" s="268"/>
      <c r="HAC85" s="267"/>
      <c r="HAD85" s="268"/>
      <c r="HAE85" s="267"/>
      <c r="HAF85" s="268"/>
      <c r="HAG85" s="267"/>
      <c r="HAH85" s="268"/>
      <c r="HAI85" s="267"/>
      <c r="HAJ85" s="268"/>
      <c r="HAK85" s="267"/>
      <c r="HAL85" s="268"/>
      <c r="HAM85" s="267"/>
      <c r="HAN85" s="268"/>
      <c r="HAO85" s="267"/>
      <c r="HAP85" s="268"/>
      <c r="HAQ85" s="267"/>
      <c r="HAR85" s="268"/>
      <c r="HAS85" s="267"/>
      <c r="HAT85" s="268"/>
      <c r="HAU85" s="267"/>
      <c r="HAV85" s="268"/>
      <c r="HAW85" s="267"/>
      <c r="HAX85" s="268"/>
      <c r="HAY85" s="267"/>
      <c r="HAZ85" s="268"/>
      <c r="HBA85" s="267"/>
      <c r="HBB85" s="268"/>
      <c r="HBC85" s="267"/>
      <c r="HBD85" s="268"/>
      <c r="HBE85" s="267"/>
      <c r="HBF85" s="268"/>
      <c r="HBG85" s="267"/>
      <c r="HBH85" s="268"/>
      <c r="HBI85" s="267"/>
      <c r="HBJ85" s="268"/>
      <c r="HBK85" s="267"/>
      <c r="HBL85" s="268"/>
      <c r="HBM85" s="267"/>
      <c r="HBN85" s="268"/>
      <c r="HBO85" s="267"/>
      <c r="HBP85" s="268"/>
      <c r="HBQ85" s="267"/>
      <c r="HBR85" s="268"/>
      <c r="HBS85" s="267"/>
      <c r="HBT85" s="268"/>
      <c r="HBU85" s="267"/>
      <c r="HBV85" s="268"/>
      <c r="HBW85" s="267"/>
      <c r="HBX85" s="268"/>
      <c r="HBY85" s="267"/>
      <c r="HBZ85" s="268"/>
      <c r="HCA85" s="267"/>
      <c r="HCB85" s="268"/>
      <c r="HCC85" s="267"/>
      <c r="HCD85" s="268"/>
      <c r="HCE85" s="267"/>
      <c r="HCF85" s="268"/>
      <c r="HCG85" s="267"/>
      <c r="HCH85" s="268"/>
      <c r="HCI85" s="267"/>
      <c r="HCJ85" s="268"/>
      <c r="HCK85" s="267"/>
      <c r="HCL85" s="268"/>
      <c r="HCM85" s="267"/>
      <c r="HCN85" s="268"/>
      <c r="HCO85" s="267"/>
      <c r="HCP85" s="268"/>
      <c r="HCQ85" s="267"/>
      <c r="HCR85" s="268"/>
      <c r="HCS85" s="267"/>
      <c r="HCT85" s="268"/>
      <c r="HCU85" s="267"/>
      <c r="HCV85" s="268"/>
      <c r="HCW85" s="267"/>
      <c r="HCX85" s="268"/>
      <c r="HCY85" s="267"/>
      <c r="HCZ85" s="268"/>
      <c r="HDA85" s="267"/>
      <c r="HDB85" s="268"/>
      <c r="HDC85" s="267"/>
      <c r="HDD85" s="268"/>
      <c r="HDE85" s="267"/>
      <c r="HDF85" s="268"/>
      <c r="HDG85" s="267"/>
      <c r="HDH85" s="268"/>
      <c r="HDI85" s="267"/>
      <c r="HDJ85" s="268"/>
      <c r="HDK85" s="267"/>
      <c r="HDL85" s="268"/>
      <c r="HDM85" s="267"/>
      <c r="HDN85" s="268"/>
      <c r="HDO85" s="267"/>
      <c r="HDP85" s="268"/>
      <c r="HDQ85" s="267"/>
      <c r="HDR85" s="268"/>
      <c r="HDS85" s="267"/>
      <c r="HDT85" s="268"/>
      <c r="HDU85" s="267"/>
      <c r="HDV85" s="268"/>
      <c r="HDW85" s="267"/>
      <c r="HDX85" s="268"/>
      <c r="HDY85" s="267"/>
      <c r="HDZ85" s="268"/>
      <c r="HEA85" s="267"/>
      <c r="HEB85" s="268"/>
      <c r="HEC85" s="267"/>
      <c r="HED85" s="268"/>
      <c r="HEE85" s="267"/>
      <c r="HEF85" s="268"/>
      <c r="HEG85" s="267"/>
      <c r="HEH85" s="268"/>
      <c r="HEI85" s="267"/>
      <c r="HEJ85" s="268"/>
      <c r="HEK85" s="267"/>
      <c r="HEL85" s="268"/>
      <c r="HEM85" s="267"/>
      <c r="HEN85" s="268"/>
      <c r="HEO85" s="267"/>
      <c r="HEP85" s="268"/>
      <c r="HEQ85" s="267"/>
      <c r="HER85" s="268"/>
      <c r="HES85" s="267"/>
      <c r="HET85" s="268"/>
      <c r="HEU85" s="267"/>
      <c r="HEV85" s="268"/>
      <c r="HEW85" s="267"/>
      <c r="HEX85" s="268"/>
      <c r="HEY85" s="267"/>
      <c r="HEZ85" s="268"/>
      <c r="HFA85" s="267"/>
      <c r="HFB85" s="268"/>
      <c r="HFC85" s="267"/>
      <c r="HFD85" s="268"/>
      <c r="HFE85" s="267"/>
      <c r="HFF85" s="268"/>
      <c r="HFG85" s="267"/>
      <c r="HFH85" s="268"/>
      <c r="HFI85" s="267"/>
      <c r="HFJ85" s="268"/>
      <c r="HFK85" s="267"/>
      <c r="HFL85" s="268"/>
      <c r="HFM85" s="267"/>
      <c r="HFN85" s="268"/>
      <c r="HFO85" s="267"/>
      <c r="HFP85" s="268"/>
      <c r="HFQ85" s="267"/>
      <c r="HFR85" s="268"/>
      <c r="HFS85" s="267"/>
      <c r="HFT85" s="268"/>
      <c r="HFU85" s="267"/>
      <c r="HFV85" s="268"/>
      <c r="HFW85" s="267"/>
      <c r="HFX85" s="268"/>
      <c r="HFY85" s="267"/>
      <c r="HFZ85" s="268"/>
      <c r="HGA85" s="267"/>
      <c r="HGB85" s="268"/>
      <c r="HGC85" s="267"/>
      <c r="HGD85" s="268"/>
      <c r="HGE85" s="267"/>
      <c r="HGF85" s="268"/>
      <c r="HGG85" s="267"/>
      <c r="HGH85" s="268"/>
      <c r="HGI85" s="267"/>
      <c r="HGJ85" s="268"/>
      <c r="HGK85" s="267"/>
      <c r="HGL85" s="268"/>
      <c r="HGM85" s="267"/>
      <c r="HGN85" s="268"/>
      <c r="HGO85" s="267"/>
      <c r="HGP85" s="268"/>
      <c r="HGQ85" s="267"/>
      <c r="HGR85" s="268"/>
      <c r="HGS85" s="267"/>
      <c r="HGT85" s="268"/>
      <c r="HGU85" s="267"/>
      <c r="HGV85" s="268"/>
      <c r="HGW85" s="267"/>
      <c r="HGX85" s="268"/>
      <c r="HGY85" s="267"/>
      <c r="HGZ85" s="268"/>
      <c r="HHA85" s="267"/>
      <c r="HHB85" s="268"/>
      <c r="HHC85" s="267"/>
      <c r="HHD85" s="268"/>
      <c r="HHE85" s="267"/>
      <c r="HHF85" s="268"/>
      <c r="HHG85" s="267"/>
      <c r="HHH85" s="268"/>
      <c r="HHI85" s="267"/>
      <c r="HHJ85" s="268"/>
      <c r="HHK85" s="267"/>
      <c r="HHL85" s="268"/>
      <c r="HHM85" s="267"/>
      <c r="HHN85" s="268"/>
      <c r="HHO85" s="267"/>
      <c r="HHP85" s="268"/>
      <c r="HHQ85" s="267"/>
      <c r="HHR85" s="268"/>
      <c r="HHS85" s="267"/>
      <c r="HHT85" s="268"/>
      <c r="HHU85" s="267"/>
      <c r="HHV85" s="268"/>
      <c r="HHW85" s="267"/>
      <c r="HHX85" s="268"/>
      <c r="HHY85" s="267"/>
      <c r="HHZ85" s="268"/>
      <c r="HIA85" s="267"/>
      <c r="HIB85" s="268"/>
      <c r="HIC85" s="267"/>
      <c r="HID85" s="268"/>
      <c r="HIE85" s="267"/>
      <c r="HIF85" s="268"/>
      <c r="HIG85" s="267"/>
      <c r="HIH85" s="268"/>
      <c r="HII85" s="267"/>
      <c r="HIJ85" s="268"/>
      <c r="HIK85" s="267"/>
      <c r="HIL85" s="268"/>
      <c r="HIM85" s="267"/>
      <c r="HIN85" s="268"/>
      <c r="HIO85" s="267"/>
      <c r="HIP85" s="268"/>
      <c r="HIQ85" s="267"/>
      <c r="HIR85" s="268"/>
      <c r="HIS85" s="267"/>
      <c r="HIT85" s="268"/>
      <c r="HIU85" s="267"/>
      <c r="HIV85" s="268"/>
      <c r="HIW85" s="267"/>
      <c r="HIX85" s="268"/>
      <c r="HIY85" s="267"/>
      <c r="HIZ85" s="268"/>
      <c r="HJA85" s="267"/>
      <c r="HJB85" s="268"/>
      <c r="HJC85" s="267"/>
      <c r="HJD85" s="268"/>
      <c r="HJE85" s="267"/>
      <c r="HJF85" s="268"/>
      <c r="HJG85" s="267"/>
      <c r="HJH85" s="268"/>
      <c r="HJI85" s="267"/>
      <c r="HJJ85" s="268"/>
      <c r="HJK85" s="267"/>
      <c r="HJL85" s="268"/>
      <c r="HJM85" s="267"/>
      <c r="HJN85" s="268"/>
      <c r="HJO85" s="267"/>
      <c r="HJP85" s="268"/>
      <c r="HJQ85" s="267"/>
      <c r="HJR85" s="268"/>
      <c r="HJS85" s="267"/>
      <c r="HJT85" s="268"/>
      <c r="HJU85" s="267"/>
      <c r="HJV85" s="268"/>
      <c r="HJW85" s="267"/>
      <c r="HJX85" s="268"/>
      <c r="HJY85" s="267"/>
      <c r="HJZ85" s="268"/>
      <c r="HKA85" s="267"/>
      <c r="HKB85" s="268"/>
      <c r="HKC85" s="267"/>
      <c r="HKD85" s="268"/>
      <c r="HKE85" s="267"/>
      <c r="HKF85" s="268"/>
      <c r="HKG85" s="267"/>
      <c r="HKH85" s="268"/>
      <c r="HKI85" s="267"/>
      <c r="HKJ85" s="268"/>
      <c r="HKK85" s="267"/>
      <c r="HKL85" s="268"/>
      <c r="HKM85" s="267"/>
      <c r="HKN85" s="268"/>
      <c r="HKO85" s="267"/>
      <c r="HKP85" s="268"/>
      <c r="HKQ85" s="267"/>
      <c r="HKR85" s="268"/>
      <c r="HKS85" s="267"/>
      <c r="HKT85" s="268"/>
      <c r="HKU85" s="267"/>
      <c r="HKV85" s="268"/>
      <c r="HKW85" s="267"/>
      <c r="HKX85" s="268"/>
      <c r="HKY85" s="267"/>
      <c r="HKZ85" s="268"/>
      <c r="HLA85" s="267"/>
      <c r="HLB85" s="268"/>
      <c r="HLC85" s="267"/>
      <c r="HLD85" s="268"/>
      <c r="HLE85" s="267"/>
      <c r="HLF85" s="268"/>
      <c r="HLG85" s="267"/>
      <c r="HLH85" s="268"/>
      <c r="HLI85" s="267"/>
      <c r="HLJ85" s="268"/>
      <c r="HLK85" s="267"/>
      <c r="HLL85" s="268"/>
      <c r="HLM85" s="267"/>
      <c r="HLN85" s="268"/>
      <c r="HLO85" s="267"/>
      <c r="HLP85" s="268"/>
      <c r="HLQ85" s="267"/>
      <c r="HLR85" s="268"/>
      <c r="HLS85" s="267"/>
      <c r="HLT85" s="268"/>
      <c r="HLU85" s="267"/>
      <c r="HLV85" s="268"/>
      <c r="HLW85" s="267"/>
      <c r="HLX85" s="268"/>
      <c r="HLY85" s="267"/>
      <c r="HLZ85" s="268"/>
      <c r="HMA85" s="267"/>
      <c r="HMB85" s="268"/>
      <c r="HMC85" s="267"/>
      <c r="HMD85" s="268"/>
      <c r="HME85" s="267"/>
      <c r="HMF85" s="268"/>
      <c r="HMG85" s="267"/>
      <c r="HMH85" s="268"/>
      <c r="HMI85" s="267"/>
      <c r="HMJ85" s="268"/>
      <c r="HMK85" s="267"/>
      <c r="HML85" s="268"/>
      <c r="HMM85" s="267"/>
      <c r="HMN85" s="268"/>
      <c r="HMO85" s="267"/>
      <c r="HMP85" s="268"/>
      <c r="HMQ85" s="267"/>
      <c r="HMR85" s="268"/>
      <c r="HMS85" s="267"/>
      <c r="HMT85" s="268"/>
      <c r="HMU85" s="267"/>
      <c r="HMV85" s="268"/>
      <c r="HMW85" s="267"/>
      <c r="HMX85" s="268"/>
      <c r="HMY85" s="267"/>
      <c r="HMZ85" s="268"/>
      <c r="HNA85" s="267"/>
      <c r="HNB85" s="268"/>
      <c r="HNC85" s="267"/>
      <c r="HND85" s="268"/>
      <c r="HNE85" s="267"/>
      <c r="HNF85" s="268"/>
      <c r="HNG85" s="267"/>
      <c r="HNH85" s="268"/>
      <c r="HNI85" s="267"/>
      <c r="HNJ85" s="268"/>
      <c r="HNK85" s="267"/>
      <c r="HNL85" s="268"/>
      <c r="HNM85" s="267"/>
      <c r="HNN85" s="268"/>
      <c r="HNO85" s="267"/>
      <c r="HNP85" s="268"/>
      <c r="HNQ85" s="267"/>
      <c r="HNR85" s="268"/>
      <c r="HNS85" s="267"/>
      <c r="HNT85" s="268"/>
      <c r="HNU85" s="267"/>
      <c r="HNV85" s="268"/>
      <c r="HNW85" s="267"/>
      <c r="HNX85" s="268"/>
      <c r="HNY85" s="267"/>
      <c r="HNZ85" s="268"/>
      <c r="HOA85" s="267"/>
      <c r="HOB85" s="268"/>
      <c r="HOC85" s="267"/>
      <c r="HOD85" s="268"/>
      <c r="HOE85" s="267"/>
      <c r="HOF85" s="268"/>
      <c r="HOG85" s="267"/>
      <c r="HOH85" s="268"/>
      <c r="HOI85" s="267"/>
      <c r="HOJ85" s="268"/>
      <c r="HOK85" s="267"/>
      <c r="HOL85" s="268"/>
      <c r="HOM85" s="267"/>
      <c r="HON85" s="268"/>
      <c r="HOO85" s="267"/>
      <c r="HOP85" s="268"/>
      <c r="HOQ85" s="267"/>
      <c r="HOR85" s="268"/>
      <c r="HOS85" s="267"/>
      <c r="HOT85" s="268"/>
      <c r="HOU85" s="267"/>
      <c r="HOV85" s="268"/>
      <c r="HOW85" s="267"/>
      <c r="HOX85" s="268"/>
      <c r="HOY85" s="267"/>
      <c r="HOZ85" s="268"/>
      <c r="HPA85" s="267"/>
      <c r="HPB85" s="268"/>
      <c r="HPC85" s="267"/>
      <c r="HPD85" s="268"/>
      <c r="HPE85" s="267"/>
      <c r="HPF85" s="268"/>
      <c r="HPG85" s="267"/>
      <c r="HPH85" s="268"/>
      <c r="HPI85" s="267"/>
      <c r="HPJ85" s="268"/>
      <c r="HPK85" s="267"/>
      <c r="HPL85" s="268"/>
      <c r="HPM85" s="267"/>
      <c r="HPN85" s="268"/>
      <c r="HPO85" s="267"/>
      <c r="HPP85" s="268"/>
      <c r="HPQ85" s="267"/>
      <c r="HPR85" s="268"/>
      <c r="HPS85" s="267"/>
      <c r="HPT85" s="268"/>
      <c r="HPU85" s="267"/>
      <c r="HPV85" s="268"/>
      <c r="HPW85" s="267"/>
      <c r="HPX85" s="268"/>
      <c r="HPY85" s="267"/>
      <c r="HPZ85" s="268"/>
      <c r="HQA85" s="267"/>
      <c r="HQB85" s="268"/>
      <c r="HQC85" s="267"/>
      <c r="HQD85" s="268"/>
      <c r="HQE85" s="267"/>
      <c r="HQF85" s="268"/>
      <c r="HQG85" s="267"/>
      <c r="HQH85" s="268"/>
      <c r="HQI85" s="267"/>
      <c r="HQJ85" s="268"/>
      <c r="HQK85" s="267"/>
      <c r="HQL85" s="268"/>
      <c r="HQM85" s="267"/>
      <c r="HQN85" s="268"/>
      <c r="HQO85" s="267"/>
      <c r="HQP85" s="268"/>
      <c r="HQQ85" s="267"/>
      <c r="HQR85" s="268"/>
      <c r="HQS85" s="267"/>
      <c r="HQT85" s="268"/>
      <c r="HQU85" s="267"/>
      <c r="HQV85" s="268"/>
      <c r="HQW85" s="267"/>
      <c r="HQX85" s="268"/>
      <c r="HQY85" s="267"/>
      <c r="HQZ85" s="268"/>
      <c r="HRA85" s="267"/>
      <c r="HRB85" s="268"/>
      <c r="HRC85" s="267"/>
      <c r="HRD85" s="268"/>
      <c r="HRE85" s="267"/>
      <c r="HRF85" s="268"/>
      <c r="HRG85" s="267"/>
      <c r="HRH85" s="268"/>
      <c r="HRI85" s="267"/>
      <c r="HRJ85" s="268"/>
      <c r="HRK85" s="267"/>
      <c r="HRL85" s="268"/>
      <c r="HRM85" s="267"/>
      <c r="HRN85" s="268"/>
      <c r="HRO85" s="267"/>
      <c r="HRP85" s="268"/>
      <c r="HRQ85" s="267"/>
      <c r="HRR85" s="268"/>
      <c r="HRS85" s="267"/>
      <c r="HRT85" s="268"/>
      <c r="HRU85" s="267"/>
      <c r="HRV85" s="268"/>
      <c r="HRW85" s="267"/>
      <c r="HRX85" s="268"/>
      <c r="HRY85" s="267"/>
      <c r="HRZ85" s="268"/>
      <c r="HSA85" s="267"/>
      <c r="HSB85" s="268"/>
      <c r="HSC85" s="267"/>
      <c r="HSD85" s="268"/>
      <c r="HSE85" s="267"/>
      <c r="HSF85" s="268"/>
      <c r="HSG85" s="267"/>
      <c r="HSH85" s="268"/>
      <c r="HSI85" s="267"/>
      <c r="HSJ85" s="268"/>
      <c r="HSK85" s="267"/>
      <c r="HSL85" s="268"/>
      <c r="HSM85" s="267"/>
      <c r="HSN85" s="268"/>
      <c r="HSO85" s="267"/>
      <c r="HSP85" s="268"/>
      <c r="HSQ85" s="267"/>
      <c r="HSR85" s="268"/>
      <c r="HSS85" s="267"/>
      <c r="HST85" s="268"/>
      <c r="HSU85" s="267"/>
      <c r="HSV85" s="268"/>
      <c r="HSW85" s="267"/>
      <c r="HSX85" s="268"/>
      <c r="HSY85" s="267"/>
      <c r="HSZ85" s="268"/>
      <c r="HTA85" s="267"/>
      <c r="HTB85" s="268"/>
      <c r="HTC85" s="267"/>
      <c r="HTD85" s="268"/>
      <c r="HTE85" s="267"/>
      <c r="HTF85" s="268"/>
      <c r="HTG85" s="267"/>
      <c r="HTH85" s="268"/>
      <c r="HTI85" s="267"/>
      <c r="HTJ85" s="268"/>
      <c r="HTK85" s="267"/>
      <c r="HTL85" s="268"/>
      <c r="HTM85" s="267"/>
      <c r="HTN85" s="268"/>
      <c r="HTO85" s="267"/>
      <c r="HTP85" s="268"/>
      <c r="HTQ85" s="267"/>
      <c r="HTR85" s="268"/>
      <c r="HTS85" s="267"/>
      <c r="HTT85" s="268"/>
      <c r="HTU85" s="267"/>
      <c r="HTV85" s="268"/>
      <c r="HTW85" s="267"/>
      <c r="HTX85" s="268"/>
      <c r="HTY85" s="267"/>
      <c r="HTZ85" s="268"/>
      <c r="HUA85" s="267"/>
      <c r="HUB85" s="268"/>
      <c r="HUC85" s="267"/>
      <c r="HUD85" s="268"/>
      <c r="HUE85" s="267"/>
      <c r="HUF85" s="268"/>
      <c r="HUG85" s="267"/>
      <c r="HUH85" s="268"/>
      <c r="HUI85" s="267"/>
      <c r="HUJ85" s="268"/>
      <c r="HUK85" s="267"/>
      <c r="HUL85" s="268"/>
      <c r="HUM85" s="267"/>
      <c r="HUN85" s="268"/>
      <c r="HUO85" s="267"/>
      <c r="HUP85" s="268"/>
      <c r="HUQ85" s="267"/>
      <c r="HUR85" s="268"/>
      <c r="HUS85" s="267"/>
      <c r="HUT85" s="268"/>
      <c r="HUU85" s="267"/>
      <c r="HUV85" s="268"/>
      <c r="HUW85" s="267"/>
      <c r="HUX85" s="268"/>
      <c r="HUY85" s="267"/>
      <c r="HUZ85" s="268"/>
      <c r="HVA85" s="267"/>
      <c r="HVB85" s="268"/>
      <c r="HVC85" s="267"/>
      <c r="HVD85" s="268"/>
      <c r="HVE85" s="267"/>
      <c r="HVF85" s="268"/>
      <c r="HVG85" s="267"/>
      <c r="HVH85" s="268"/>
      <c r="HVI85" s="267"/>
      <c r="HVJ85" s="268"/>
      <c r="HVK85" s="267"/>
      <c r="HVL85" s="268"/>
      <c r="HVM85" s="267"/>
      <c r="HVN85" s="268"/>
      <c r="HVO85" s="267"/>
      <c r="HVP85" s="268"/>
      <c r="HVQ85" s="267"/>
      <c r="HVR85" s="268"/>
      <c r="HVS85" s="267"/>
      <c r="HVT85" s="268"/>
      <c r="HVU85" s="267"/>
      <c r="HVV85" s="268"/>
      <c r="HVW85" s="267"/>
      <c r="HVX85" s="268"/>
      <c r="HVY85" s="267"/>
      <c r="HVZ85" s="268"/>
      <c r="HWA85" s="267"/>
      <c r="HWB85" s="268"/>
      <c r="HWC85" s="267"/>
      <c r="HWD85" s="268"/>
      <c r="HWE85" s="267"/>
      <c r="HWF85" s="268"/>
      <c r="HWG85" s="267"/>
      <c r="HWH85" s="268"/>
      <c r="HWI85" s="267"/>
      <c r="HWJ85" s="268"/>
      <c r="HWK85" s="267"/>
      <c r="HWL85" s="268"/>
      <c r="HWM85" s="267"/>
      <c r="HWN85" s="268"/>
      <c r="HWO85" s="267"/>
      <c r="HWP85" s="268"/>
      <c r="HWQ85" s="267"/>
      <c r="HWR85" s="268"/>
      <c r="HWS85" s="267"/>
      <c r="HWT85" s="268"/>
      <c r="HWU85" s="267"/>
      <c r="HWV85" s="268"/>
      <c r="HWW85" s="267"/>
      <c r="HWX85" s="268"/>
      <c r="HWY85" s="267"/>
      <c r="HWZ85" s="268"/>
      <c r="HXA85" s="267"/>
      <c r="HXB85" s="268"/>
      <c r="HXC85" s="267"/>
      <c r="HXD85" s="268"/>
      <c r="HXE85" s="267"/>
      <c r="HXF85" s="268"/>
      <c r="HXG85" s="267"/>
      <c r="HXH85" s="268"/>
      <c r="HXI85" s="267"/>
      <c r="HXJ85" s="268"/>
      <c r="HXK85" s="267"/>
      <c r="HXL85" s="268"/>
      <c r="HXM85" s="267"/>
      <c r="HXN85" s="268"/>
      <c r="HXO85" s="267"/>
      <c r="HXP85" s="268"/>
      <c r="HXQ85" s="267"/>
      <c r="HXR85" s="268"/>
      <c r="HXS85" s="267"/>
      <c r="HXT85" s="268"/>
      <c r="HXU85" s="267"/>
      <c r="HXV85" s="268"/>
      <c r="HXW85" s="267"/>
      <c r="HXX85" s="268"/>
      <c r="HXY85" s="267"/>
      <c r="HXZ85" s="268"/>
      <c r="HYA85" s="267"/>
      <c r="HYB85" s="268"/>
      <c r="HYC85" s="267"/>
      <c r="HYD85" s="268"/>
      <c r="HYE85" s="267"/>
      <c r="HYF85" s="268"/>
      <c r="HYG85" s="267"/>
      <c r="HYH85" s="268"/>
      <c r="HYI85" s="267"/>
      <c r="HYJ85" s="268"/>
      <c r="HYK85" s="267"/>
      <c r="HYL85" s="268"/>
      <c r="HYM85" s="267"/>
      <c r="HYN85" s="268"/>
      <c r="HYO85" s="267"/>
      <c r="HYP85" s="268"/>
      <c r="HYQ85" s="267"/>
      <c r="HYR85" s="268"/>
      <c r="HYS85" s="267"/>
      <c r="HYT85" s="268"/>
      <c r="HYU85" s="267"/>
      <c r="HYV85" s="268"/>
      <c r="HYW85" s="267"/>
      <c r="HYX85" s="268"/>
      <c r="HYY85" s="267"/>
      <c r="HYZ85" s="268"/>
      <c r="HZA85" s="267"/>
      <c r="HZB85" s="268"/>
      <c r="HZC85" s="267"/>
      <c r="HZD85" s="268"/>
      <c r="HZE85" s="267"/>
      <c r="HZF85" s="268"/>
      <c r="HZG85" s="267"/>
      <c r="HZH85" s="268"/>
      <c r="HZI85" s="267"/>
      <c r="HZJ85" s="268"/>
      <c r="HZK85" s="267"/>
      <c r="HZL85" s="268"/>
      <c r="HZM85" s="267"/>
      <c r="HZN85" s="268"/>
      <c r="HZO85" s="267"/>
      <c r="HZP85" s="268"/>
      <c r="HZQ85" s="267"/>
      <c r="HZR85" s="268"/>
      <c r="HZS85" s="267"/>
      <c r="HZT85" s="268"/>
      <c r="HZU85" s="267"/>
      <c r="HZV85" s="268"/>
      <c r="HZW85" s="267"/>
      <c r="HZX85" s="268"/>
      <c r="HZY85" s="267"/>
      <c r="HZZ85" s="268"/>
      <c r="IAA85" s="267"/>
      <c r="IAB85" s="268"/>
      <c r="IAC85" s="267"/>
      <c r="IAD85" s="268"/>
      <c r="IAE85" s="267"/>
      <c r="IAF85" s="268"/>
      <c r="IAG85" s="267"/>
      <c r="IAH85" s="268"/>
      <c r="IAI85" s="267"/>
      <c r="IAJ85" s="268"/>
      <c r="IAK85" s="267"/>
      <c r="IAL85" s="268"/>
      <c r="IAM85" s="267"/>
      <c r="IAN85" s="268"/>
      <c r="IAO85" s="267"/>
      <c r="IAP85" s="268"/>
      <c r="IAQ85" s="267"/>
      <c r="IAR85" s="268"/>
      <c r="IAS85" s="267"/>
      <c r="IAT85" s="268"/>
      <c r="IAU85" s="267"/>
      <c r="IAV85" s="268"/>
      <c r="IAW85" s="267"/>
      <c r="IAX85" s="268"/>
      <c r="IAY85" s="267"/>
      <c r="IAZ85" s="268"/>
      <c r="IBA85" s="267"/>
      <c r="IBB85" s="268"/>
      <c r="IBC85" s="267"/>
      <c r="IBD85" s="268"/>
      <c r="IBE85" s="267"/>
      <c r="IBF85" s="268"/>
      <c r="IBG85" s="267"/>
      <c r="IBH85" s="268"/>
      <c r="IBI85" s="267"/>
      <c r="IBJ85" s="268"/>
      <c r="IBK85" s="267"/>
      <c r="IBL85" s="268"/>
      <c r="IBM85" s="267"/>
      <c r="IBN85" s="268"/>
      <c r="IBO85" s="267"/>
      <c r="IBP85" s="268"/>
      <c r="IBQ85" s="267"/>
      <c r="IBR85" s="268"/>
      <c r="IBS85" s="267"/>
      <c r="IBT85" s="268"/>
      <c r="IBU85" s="267"/>
      <c r="IBV85" s="268"/>
      <c r="IBW85" s="267"/>
      <c r="IBX85" s="268"/>
      <c r="IBY85" s="267"/>
      <c r="IBZ85" s="268"/>
      <c r="ICA85" s="267"/>
      <c r="ICB85" s="268"/>
      <c r="ICC85" s="267"/>
      <c r="ICD85" s="268"/>
      <c r="ICE85" s="267"/>
      <c r="ICF85" s="268"/>
      <c r="ICG85" s="267"/>
      <c r="ICH85" s="268"/>
      <c r="ICI85" s="267"/>
      <c r="ICJ85" s="268"/>
      <c r="ICK85" s="267"/>
      <c r="ICL85" s="268"/>
      <c r="ICM85" s="267"/>
      <c r="ICN85" s="268"/>
      <c r="ICO85" s="267"/>
      <c r="ICP85" s="268"/>
      <c r="ICQ85" s="267"/>
      <c r="ICR85" s="268"/>
      <c r="ICS85" s="267"/>
      <c r="ICT85" s="268"/>
      <c r="ICU85" s="267"/>
      <c r="ICV85" s="268"/>
      <c r="ICW85" s="267"/>
      <c r="ICX85" s="268"/>
      <c r="ICY85" s="267"/>
      <c r="ICZ85" s="268"/>
      <c r="IDA85" s="267"/>
      <c r="IDB85" s="268"/>
      <c r="IDC85" s="267"/>
      <c r="IDD85" s="268"/>
      <c r="IDE85" s="267"/>
      <c r="IDF85" s="268"/>
      <c r="IDG85" s="267"/>
      <c r="IDH85" s="268"/>
      <c r="IDI85" s="267"/>
      <c r="IDJ85" s="268"/>
      <c r="IDK85" s="267"/>
      <c r="IDL85" s="268"/>
      <c r="IDM85" s="267"/>
      <c r="IDN85" s="268"/>
      <c r="IDO85" s="267"/>
      <c r="IDP85" s="268"/>
      <c r="IDQ85" s="267"/>
      <c r="IDR85" s="268"/>
      <c r="IDS85" s="267"/>
      <c r="IDT85" s="268"/>
      <c r="IDU85" s="267"/>
      <c r="IDV85" s="268"/>
      <c r="IDW85" s="267"/>
      <c r="IDX85" s="268"/>
      <c r="IDY85" s="267"/>
      <c r="IDZ85" s="268"/>
      <c r="IEA85" s="267"/>
      <c r="IEB85" s="268"/>
      <c r="IEC85" s="267"/>
      <c r="IED85" s="268"/>
      <c r="IEE85" s="267"/>
      <c r="IEF85" s="268"/>
      <c r="IEG85" s="267"/>
      <c r="IEH85" s="268"/>
      <c r="IEI85" s="267"/>
      <c r="IEJ85" s="268"/>
      <c r="IEK85" s="267"/>
      <c r="IEL85" s="268"/>
      <c r="IEM85" s="267"/>
      <c r="IEN85" s="268"/>
      <c r="IEO85" s="267"/>
      <c r="IEP85" s="268"/>
      <c r="IEQ85" s="267"/>
      <c r="IER85" s="268"/>
      <c r="IES85" s="267"/>
      <c r="IET85" s="268"/>
      <c r="IEU85" s="267"/>
      <c r="IEV85" s="268"/>
      <c r="IEW85" s="267"/>
      <c r="IEX85" s="268"/>
      <c r="IEY85" s="267"/>
      <c r="IEZ85" s="268"/>
      <c r="IFA85" s="267"/>
      <c r="IFB85" s="268"/>
      <c r="IFC85" s="267"/>
      <c r="IFD85" s="268"/>
      <c r="IFE85" s="267"/>
      <c r="IFF85" s="268"/>
      <c r="IFG85" s="267"/>
      <c r="IFH85" s="268"/>
      <c r="IFI85" s="267"/>
      <c r="IFJ85" s="268"/>
      <c r="IFK85" s="267"/>
      <c r="IFL85" s="268"/>
      <c r="IFM85" s="267"/>
      <c r="IFN85" s="268"/>
      <c r="IFO85" s="267"/>
      <c r="IFP85" s="268"/>
      <c r="IFQ85" s="267"/>
      <c r="IFR85" s="268"/>
      <c r="IFS85" s="267"/>
      <c r="IFT85" s="268"/>
      <c r="IFU85" s="267"/>
      <c r="IFV85" s="268"/>
      <c r="IFW85" s="267"/>
      <c r="IFX85" s="268"/>
      <c r="IFY85" s="267"/>
      <c r="IFZ85" s="268"/>
      <c r="IGA85" s="267"/>
      <c r="IGB85" s="268"/>
      <c r="IGC85" s="267"/>
      <c r="IGD85" s="268"/>
      <c r="IGE85" s="267"/>
      <c r="IGF85" s="268"/>
      <c r="IGG85" s="267"/>
      <c r="IGH85" s="268"/>
      <c r="IGI85" s="267"/>
      <c r="IGJ85" s="268"/>
      <c r="IGK85" s="267"/>
      <c r="IGL85" s="268"/>
      <c r="IGM85" s="267"/>
      <c r="IGN85" s="268"/>
      <c r="IGO85" s="267"/>
      <c r="IGP85" s="268"/>
      <c r="IGQ85" s="267"/>
      <c r="IGR85" s="268"/>
      <c r="IGS85" s="267"/>
      <c r="IGT85" s="268"/>
      <c r="IGU85" s="267"/>
      <c r="IGV85" s="268"/>
      <c r="IGW85" s="267"/>
      <c r="IGX85" s="268"/>
      <c r="IGY85" s="267"/>
      <c r="IGZ85" s="268"/>
      <c r="IHA85" s="267"/>
      <c r="IHB85" s="268"/>
      <c r="IHC85" s="267"/>
      <c r="IHD85" s="268"/>
      <c r="IHE85" s="267"/>
      <c r="IHF85" s="268"/>
      <c r="IHG85" s="267"/>
      <c r="IHH85" s="268"/>
      <c r="IHI85" s="267"/>
      <c r="IHJ85" s="268"/>
      <c r="IHK85" s="267"/>
      <c r="IHL85" s="268"/>
      <c r="IHM85" s="267"/>
      <c r="IHN85" s="268"/>
      <c r="IHO85" s="267"/>
      <c r="IHP85" s="268"/>
      <c r="IHQ85" s="267"/>
      <c r="IHR85" s="268"/>
      <c r="IHS85" s="267"/>
      <c r="IHT85" s="268"/>
      <c r="IHU85" s="267"/>
      <c r="IHV85" s="268"/>
      <c r="IHW85" s="267"/>
      <c r="IHX85" s="268"/>
      <c r="IHY85" s="267"/>
      <c r="IHZ85" s="268"/>
      <c r="IIA85" s="267"/>
      <c r="IIB85" s="268"/>
      <c r="IIC85" s="267"/>
      <c r="IID85" s="268"/>
      <c r="IIE85" s="267"/>
      <c r="IIF85" s="268"/>
      <c r="IIG85" s="267"/>
      <c r="IIH85" s="268"/>
      <c r="III85" s="267"/>
      <c r="IIJ85" s="268"/>
      <c r="IIK85" s="267"/>
      <c r="IIL85" s="268"/>
      <c r="IIM85" s="267"/>
      <c r="IIN85" s="268"/>
      <c r="IIO85" s="267"/>
      <c r="IIP85" s="268"/>
      <c r="IIQ85" s="267"/>
      <c r="IIR85" s="268"/>
      <c r="IIS85" s="267"/>
      <c r="IIT85" s="268"/>
      <c r="IIU85" s="267"/>
      <c r="IIV85" s="268"/>
      <c r="IIW85" s="267"/>
      <c r="IIX85" s="268"/>
      <c r="IIY85" s="267"/>
      <c r="IIZ85" s="268"/>
      <c r="IJA85" s="267"/>
      <c r="IJB85" s="268"/>
      <c r="IJC85" s="267"/>
      <c r="IJD85" s="268"/>
      <c r="IJE85" s="267"/>
      <c r="IJF85" s="268"/>
      <c r="IJG85" s="267"/>
      <c r="IJH85" s="268"/>
      <c r="IJI85" s="267"/>
      <c r="IJJ85" s="268"/>
      <c r="IJK85" s="267"/>
      <c r="IJL85" s="268"/>
      <c r="IJM85" s="267"/>
      <c r="IJN85" s="268"/>
      <c r="IJO85" s="267"/>
      <c r="IJP85" s="268"/>
      <c r="IJQ85" s="267"/>
      <c r="IJR85" s="268"/>
      <c r="IJS85" s="267"/>
      <c r="IJT85" s="268"/>
      <c r="IJU85" s="267"/>
      <c r="IJV85" s="268"/>
      <c r="IJW85" s="267"/>
      <c r="IJX85" s="268"/>
      <c r="IJY85" s="267"/>
      <c r="IJZ85" s="268"/>
      <c r="IKA85" s="267"/>
      <c r="IKB85" s="268"/>
      <c r="IKC85" s="267"/>
      <c r="IKD85" s="268"/>
      <c r="IKE85" s="267"/>
      <c r="IKF85" s="268"/>
      <c r="IKG85" s="267"/>
      <c r="IKH85" s="268"/>
      <c r="IKI85" s="267"/>
      <c r="IKJ85" s="268"/>
      <c r="IKK85" s="267"/>
      <c r="IKL85" s="268"/>
      <c r="IKM85" s="267"/>
      <c r="IKN85" s="268"/>
      <c r="IKO85" s="267"/>
      <c r="IKP85" s="268"/>
      <c r="IKQ85" s="267"/>
      <c r="IKR85" s="268"/>
      <c r="IKS85" s="267"/>
      <c r="IKT85" s="268"/>
      <c r="IKU85" s="267"/>
      <c r="IKV85" s="268"/>
      <c r="IKW85" s="267"/>
      <c r="IKX85" s="268"/>
      <c r="IKY85" s="267"/>
      <c r="IKZ85" s="268"/>
      <c r="ILA85" s="267"/>
      <c r="ILB85" s="268"/>
      <c r="ILC85" s="267"/>
      <c r="ILD85" s="268"/>
      <c r="ILE85" s="267"/>
      <c r="ILF85" s="268"/>
      <c r="ILG85" s="267"/>
      <c r="ILH85" s="268"/>
      <c r="ILI85" s="267"/>
      <c r="ILJ85" s="268"/>
      <c r="ILK85" s="267"/>
      <c r="ILL85" s="268"/>
      <c r="ILM85" s="267"/>
      <c r="ILN85" s="268"/>
      <c r="ILO85" s="267"/>
      <c r="ILP85" s="268"/>
      <c r="ILQ85" s="267"/>
      <c r="ILR85" s="268"/>
      <c r="ILS85" s="267"/>
      <c r="ILT85" s="268"/>
      <c r="ILU85" s="267"/>
      <c r="ILV85" s="268"/>
      <c r="ILW85" s="267"/>
      <c r="ILX85" s="268"/>
      <c r="ILY85" s="267"/>
      <c r="ILZ85" s="268"/>
      <c r="IMA85" s="267"/>
      <c r="IMB85" s="268"/>
      <c r="IMC85" s="267"/>
      <c r="IMD85" s="268"/>
      <c r="IME85" s="267"/>
      <c r="IMF85" s="268"/>
      <c r="IMG85" s="267"/>
      <c r="IMH85" s="268"/>
      <c r="IMI85" s="267"/>
      <c r="IMJ85" s="268"/>
      <c r="IMK85" s="267"/>
      <c r="IML85" s="268"/>
      <c r="IMM85" s="267"/>
      <c r="IMN85" s="268"/>
      <c r="IMO85" s="267"/>
      <c r="IMP85" s="268"/>
      <c r="IMQ85" s="267"/>
      <c r="IMR85" s="268"/>
      <c r="IMS85" s="267"/>
      <c r="IMT85" s="268"/>
      <c r="IMU85" s="267"/>
      <c r="IMV85" s="268"/>
      <c r="IMW85" s="267"/>
      <c r="IMX85" s="268"/>
      <c r="IMY85" s="267"/>
      <c r="IMZ85" s="268"/>
      <c r="INA85" s="267"/>
      <c r="INB85" s="268"/>
      <c r="INC85" s="267"/>
      <c r="IND85" s="268"/>
      <c r="INE85" s="267"/>
      <c r="INF85" s="268"/>
      <c r="ING85" s="267"/>
      <c r="INH85" s="268"/>
      <c r="INI85" s="267"/>
      <c r="INJ85" s="268"/>
      <c r="INK85" s="267"/>
      <c r="INL85" s="268"/>
      <c r="INM85" s="267"/>
      <c r="INN85" s="268"/>
      <c r="INO85" s="267"/>
      <c r="INP85" s="268"/>
      <c r="INQ85" s="267"/>
      <c r="INR85" s="268"/>
      <c r="INS85" s="267"/>
      <c r="INT85" s="268"/>
      <c r="INU85" s="267"/>
      <c r="INV85" s="268"/>
      <c r="INW85" s="267"/>
      <c r="INX85" s="268"/>
      <c r="INY85" s="267"/>
      <c r="INZ85" s="268"/>
      <c r="IOA85" s="267"/>
      <c r="IOB85" s="268"/>
      <c r="IOC85" s="267"/>
      <c r="IOD85" s="268"/>
      <c r="IOE85" s="267"/>
      <c r="IOF85" s="268"/>
      <c r="IOG85" s="267"/>
      <c r="IOH85" s="268"/>
      <c r="IOI85" s="267"/>
      <c r="IOJ85" s="268"/>
      <c r="IOK85" s="267"/>
      <c r="IOL85" s="268"/>
      <c r="IOM85" s="267"/>
      <c r="ION85" s="268"/>
      <c r="IOO85" s="267"/>
      <c r="IOP85" s="268"/>
      <c r="IOQ85" s="267"/>
      <c r="IOR85" s="268"/>
      <c r="IOS85" s="267"/>
      <c r="IOT85" s="268"/>
      <c r="IOU85" s="267"/>
      <c r="IOV85" s="268"/>
      <c r="IOW85" s="267"/>
      <c r="IOX85" s="268"/>
      <c r="IOY85" s="267"/>
      <c r="IOZ85" s="268"/>
      <c r="IPA85" s="267"/>
      <c r="IPB85" s="268"/>
      <c r="IPC85" s="267"/>
      <c r="IPD85" s="268"/>
      <c r="IPE85" s="267"/>
      <c r="IPF85" s="268"/>
      <c r="IPG85" s="267"/>
      <c r="IPH85" s="268"/>
      <c r="IPI85" s="267"/>
      <c r="IPJ85" s="268"/>
      <c r="IPK85" s="267"/>
      <c r="IPL85" s="268"/>
      <c r="IPM85" s="267"/>
      <c r="IPN85" s="268"/>
      <c r="IPO85" s="267"/>
      <c r="IPP85" s="268"/>
      <c r="IPQ85" s="267"/>
      <c r="IPR85" s="268"/>
      <c r="IPS85" s="267"/>
      <c r="IPT85" s="268"/>
      <c r="IPU85" s="267"/>
      <c r="IPV85" s="268"/>
      <c r="IPW85" s="267"/>
      <c r="IPX85" s="268"/>
      <c r="IPY85" s="267"/>
      <c r="IPZ85" s="268"/>
      <c r="IQA85" s="267"/>
      <c r="IQB85" s="268"/>
      <c r="IQC85" s="267"/>
      <c r="IQD85" s="268"/>
      <c r="IQE85" s="267"/>
      <c r="IQF85" s="268"/>
      <c r="IQG85" s="267"/>
      <c r="IQH85" s="268"/>
      <c r="IQI85" s="267"/>
      <c r="IQJ85" s="268"/>
      <c r="IQK85" s="267"/>
      <c r="IQL85" s="268"/>
      <c r="IQM85" s="267"/>
      <c r="IQN85" s="268"/>
      <c r="IQO85" s="267"/>
      <c r="IQP85" s="268"/>
      <c r="IQQ85" s="267"/>
      <c r="IQR85" s="268"/>
      <c r="IQS85" s="267"/>
      <c r="IQT85" s="268"/>
      <c r="IQU85" s="267"/>
      <c r="IQV85" s="268"/>
      <c r="IQW85" s="267"/>
      <c r="IQX85" s="268"/>
      <c r="IQY85" s="267"/>
      <c r="IQZ85" s="268"/>
      <c r="IRA85" s="267"/>
      <c r="IRB85" s="268"/>
      <c r="IRC85" s="267"/>
      <c r="IRD85" s="268"/>
      <c r="IRE85" s="267"/>
      <c r="IRF85" s="268"/>
      <c r="IRG85" s="267"/>
      <c r="IRH85" s="268"/>
      <c r="IRI85" s="267"/>
      <c r="IRJ85" s="268"/>
      <c r="IRK85" s="267"/>
      <c r="IRL85" s="268"/>
      <c r="IRM85" s="267"/>
      <c r="IRN85" s="268"/>
      <c r="IRO85" s="267"/>
      <c r="IRP85" s="268"/>
      <c r="IRQ85" s="267"/>
      <c r="IRR85" s="268"/>
      <c r="IRS85" s="267"/>
      <c r="IRT85" s="268"/>
      <c r="IRU85" s="267"/>
      <c r="IRV85" s="268"/>
      <c r="IRW85" s="267"/>
      <c r="IRX85" s="268"/>
      <c r="IRY85" s="267"/>
      <c r="IRZ85" s="268"/>
      <c r="ISA85" s="267"/>
      <c r="ISB85" s="268"/>
      <c r="ISC85" s="267"/>
      <c r="ISD85" s="268"/>
      <c r="ISE85" s="267"/>
      <c r="ISF85" s="268"/>
      <c r="ISG85" s="267"/>
      <c r="ISH85" s="268"/>
      <c r="ISI85" s="267"/>
      <c r="ISJ85" s="268"/>
      <c r="ISK85" s="267"/>
      <c r="ISL85" s="268"/>
      <c r="ISM85" s="267"/>
      <c r="ISN85" s="268"/>
      <c r="ISO85" s="267"/>
      <c r="ISP85" s="268"/>
      <c r="ISQ85" s="267"/>
      <c r="ISR85" s="268"/>
      <c r="ISS85" s="267"/>
      <c r="IST85" s="268"/>
      <c r="ISU85" s="267"/>
      <c r="ISV85" s="268"/>
      <c r="ISW85" s="267"/>
      <c r="ISX85" s="268"/>
      <c r="ISY85" s="267"/>
      <c r="ISZ85" s="268"/>
      <c r="ITA85" s="267"/>
      <c r="ITB85" s="268"/>
      <c r="ITC85" s="267"/>
      <c r="ITD85" s="268"/>
      <c r="ITE85" s="267"/>
      <c r="ITF85" s="268"/>
      <c r="ITG85" s="267"/>
      <c r="ITH85" s="268"/>
      <c r="ITI85" s="267"/>
      <c r="ITJ85" s="268"/>
      <c r="ITK85" s="267"/>
      <c r="ITL85" s="268"/>
      <c r="ITM85" s="267"/>
      <c r="ITN85" s="268"/>
      <c r="ITO85" s="267"/>
      <c r="ITP85" s="268"/>
      <c r="ITQ85" s="267"/>
      <c r="ITR85" s="268"/>
      <c r="ITS85" s="267"/>
      <c r="ITT85" s="268"/>
      <c r="ITU85" s="267"/>
      <c r="ITV85" s="268"/>
      <c r="ITW85" s="267"/>
      <c r="ITX85" s="268"/>
      <c r="ITY85" s="267"/>
      <c r="ITZ85" s="268"/>
      <c r="IUA85" s="267"/>
      <c r="IUB85" s="268"/>
      <c r="IUC85" s="267"/>
      <c r="IUD85" s="268"/>
      <c r="IUE85" s="267"/>
      <c r="IUF85" s="268"/>
      <c r="IUG85" s="267"/>
      <c r="IUH85" s="268"/>
      <c r="IUI85" s="267"/>
      <c r="IUJ85" s="268"/>
      <c r="IUK85" s="267"/>
      <c r="IUL85" s="268"/>
      <c r="IUM85" s="267"/>
      <c r="IUN85" s="268"/>
      <c r="IUO85" s="267"/>
      <c r="IUP85" s="268"/>
      <c r="IUQ85" s="267"/>
      <c r="IUR85" s="268"/>
      <c r="IUS85" s="267"/>
      <c r="IUT85" s="268"/>
      <c r="IUU85" s="267"/>
      <c r="IUV85" s="268"/>
      <c r="IUW85" s="267"/>
      <c r="IUX85" s="268"/>
      <c r="IUY85" s="267"/>
      <c r="IUZ85" s="268"/>
      <c r="IVA85" s="267"/>
      <c r="IVB85" s="268"/>
      <c r="IVC85" s="267"/>
      <c r="IVD85" s="268"/>
      <c r="IVE85" s="267"/>
      <c r="IVF85" s="268"/>
      <c r="IVG85" s="267"/>
      <c r="IVH85" s="268"/>
      <c r="IVI85" s="267"/>
      <c r="IVJ85" s="268"/>
      <c r="IVK85" s="267"/>
      <c r="IVL85" s="268"/>
      <c r="IVM85" s="267"/>
      <c r="IVN85" s="268"/>
      <c r="IVO85" s="267"/>
      <c r="IVP85" s="268"/>
      <c r="IVQ85" s="267"/>
      <c r="IVR85" s="268"/>
      <c r="IVS85" s="267"/>
      <c r="IVT85" s="268"/>
      <c r="IVU85" s="267"/>
      <c r="IVV85" s="268"/>
      <c r="IVW85" s="267"/>
      <c r="IVX85" s="268"/>
      <c r="IVY85" s="267"/>
      <c r="IVZ85" s="268"/>
      <c r="IWA85" s="267"/>
      <c r="IWB85" s="268"/>
      <c r="IWC85" s="267"/>
      <c r="IWD85" s="268"/>
      <c r="IWE85" s="267"/>
      <c r="IWF85" s="268"/>
      <c r="IWG85" s="267"/>
      <c r="IWH85" s="268"/>
      <c r="IWI85" s="267"/>
      <c r="IWJ85" s="268"/>
      <c r="IWK85" s="267"/>
      <c r="IWL85" s="268"/>
      <c r="IWM85" s="267"/>
      <c r="IWN85" s="268"/>
      <c r="IWO85" s="267"/>
      <c r="IWP85" s="268"/>
      <c r="IWQ85" s="267"/>
      <c r="IWR85" s="268"/>
      <c r="IWS85" s="267"/>
      <c r="IWT85" s="268"/>
      <c r="IWU85" s="267"/>
      <c r="IWV85" s="268"/>
      <c r="IWW85" s="267"/>
      <c r="IWX85" s="268"/>
      <c r="IWY85" s="267"/>
      <c r="IWZ85" s="268"/>
      <c r="IXA85" s="267"/>
      <c r="IXB85" s="268"/>
      <c r="IXC85" s="267"/>
      <c r="IXD85" s="268"/>
      <c r="IXE85" s="267"/>
      <c r="IXF85" s="268"/>
      <c r="IXG85" s="267"/>
      <c r="IXH85" s="268"/>
      <c r="IXI85" s="267"/>
      <c r="IXJ85" s="268"/>
      <c r="IXK85" s="267"/>
      <c r="IXL85" s="268"/>
      <c r="IXM85" s="267"/>
      <c r="IXN85" s="268"/>
      <c r="IXO85" s="267"/>
      <c r="IXP85" s="268"/>
      <c r="IXQ85" s="267"/>
      <c r="IXR85" s="268"/>
      <c r="IXS85" s="267"/>
      <c r="IXT85" s="268"/>
      <c r="IXU85" s="267"/>
      <c r="IXV85" s="268"/>
      <c r="IXW85" s="267"/>
      <c r="IXX85" s="268"/>
      <c r="IXY85" s="267"/>
      <c r="IXZ85" s="268"/>
      <c r="IYA85" s="267"/>
      <c r="IYB85" s="268"/>
      <c r="IYC85" s="267"/>
      <c r="IYD85" s="268"/>
      <c r="IYE85" s="267"/>
      <c r="IYF85" s="268"/>
      <c r="IYG85" s="267"/>
      <c r="IYH85" s="268"/>
      <c r="IYI85" s="267"/>
      <c r="IYJ85" s="268"/>
      <c r="IYK85" s="267"/>
      <c r="IYL85" s="268"/>
      <c r="IYM85" s="267"/>
      <c r="IYN85" s="268"/>
      <c r="IYO85" s="267"/>
      <c r="IYP85" s="268"/>
      <c r="IYQ85" s="267"/>
      <c r="IYR85" s="268"/>
      <c r="IYS85" s="267"/>
      <c r="IYT85" s="268"/>
      <c r="IYU85" s="267"/>
      <c r="IYV85" s="268"/>
      <c r="IYW85" s="267"/>
      <c r="IYX85" s="268"/>
      <c r="IYY85" s="267"/>
      <c r="IYZ85" s="268"/>
      <c r="IZA85" s="267"/>
      <c r="IZB85" s="268"/>
      <c r="IZC85" s="267"/>
      <c r="IZD85" s="268"/>
      <c r="IZE85" s="267"/>
      <c r="IZF85" s="268"/>
      <c r="IZG85" s="267"/>
      <c r="IZH85" s="268"/>
      <c r="IZI85" s="267"/>
      <c r="IZJ85" s="268"/>
      <c r="IZK85" s="267"/>
      <c r="IZL85" s="268"/>
      <c r="IZM85" s="267"/>
      <c r="IZN85" s="268"/>
      <c r="IZO85" s="267"/>
      <c r="IZP85" s="268"/>
      <c r="IZQ85" s="267"/>
      <c r="IZR85" s="268"/>
      <c r="IZS85" s="267"/>
      <c r="IZT85" s="268"/>
      <c r="IZU85" s="267"/>
      <c r="IZV85" s="268"/>
      <c r="IZW85" s="267"/>
      <c r="IZX85" s="268"/>
      <c r="IZY85" s="267"/>
      <c r="IZZ85" s="268"/>
      <c r="JAA85" s="267"/>
      <c r="JAB85" s="268"/>
      <c r="JAC85" s="267"/>
      <c r="JAD85" s="268"/>
      <c r="JAE85" s="267"/>
      <c r="JAF85" s="268"/>
      <c r="JAG85" s="267"/>
      <c r="JAH85" s="268"/>
      <c r="JAI85" s="267"/>
      <c r="JAJ85" s="268"/>
      <c r="JAK85" s="267"/>
      <c r="JAL85" s="268"/>
      <c r="JAM85" s="267"/>
      <c r="JAN85" s="268"/>
      <c r="JAO85" s="267"/>
      <c r="JAP85" s="268"/>
      <c r="JAQ85" s="267"/>
      <c r="JAR85" s="268"/>
      <c r="JAS85" s="267"/>
      <c r="JAT85" s="268"/>
      <c r="JAU85" s="267"/>
      <c r="JAV85" s="268"/>
      <c r="JAW85" s="267"/>
      <c r="JAX85" s="268"/>
      <c r="JAY85" s="267"/>
      <c r="JAZ85" s="268"/>
      <c r="JBA85" s="267"/>
      <c r="JBB85" s="268"/>
      <c r="JBC85" s="267"/>
      <c r="JBD85" s="268"/>
      <c r="JBE85" s="267"/>
      <c r="JBF85" s="268"/>
      <c r="JBG85" s="267"/>
      <c r="JBH85" s="268"/>
      <c r="JBI85" s="267"/>
      <c r="JBJ85" s="268"/>
      <c r="JBK85" s="267"/>
      <c r="JBL85" s="268"/>
      <c r="JBM85" s="267"/>
      <c r="JBN85" s="268"/>
      <c r="JBO85" s="267"/>
      <c r="JBP85" s="268"/>
      <c r="JBQ85" s="267"/>
      <c r="JBR85" s="268"/>
      <c r="JBS85" s="267"/>
      <c r="JBT85" s="268"/>
      <c r="JBU85" s="267"/>
      <c r="JBV85" s="268"/>
      <c r="JBW85" s="267"/>
      <c r="JBX85" s="268"/>
      <c r="JBY85" s="267"/>
      <c r="JBZ85" s="268"/>
      <c r="JCA85" s="267"/>
      <c r="JCB85" s="268"/>
      <c r="JCC85" s="267"/>
      <c r="JCD85" s="268"/>
      <c r="JCE85" s="267"/>
      <c r="JCF85" s="268"/>
      <c r="JCG85" s="267"/>
      <c r="JCH85" s="268"/>
      <c r="JCI85" s="267"/>
      <c r="JCJ85" s="268"/>
      <c r="JCK85" s="267"/>
      <c r="JCL85" s="268"/>
      <c r="JCM85" s="267"/>
      <c r="JCN85" s="268"/>
      <c r="JCO85" s="267"/>
      <c r="JCP85" s="268"/>
      <c r="JCQ85" s="267"/>
      <c r="JCR85" s="268"/>
      <c r="JCS85" s="267"/>
      <c r="JCT85" s="268"/>
      <c r="JCU85" s="267"/>
      <c r="JCV85" s="268"/>
      <c r="JCW85" s="267"/>
      <c r="JCX85" s="268"/>
      <c r="JCY85" s="267"/>
      <c r="JCZ85" s="268"/>
      <c r="JDA85" s="267"/>
      <c r="JDB85" s="268"/>
      <c r="JDC85" s="267"/>
      <c r="JDD85" s="268"/>
      <c r="JDE85" s="267"/>
      <c r="JDF85" s="268"/>
      <c r="JDG85" s="267"/>
      <c r="JDH85" s="268"/>
      <c r="JDI85" s="267"/>
      <c r="JDJ85" s="268"/>
      <c r="JDK85" s="267"/>
      <c r="JDL85" s="268"/>
      <c r="JDM85" s="267"/>
      <c r="JDN85" s="268"/>
      <c r="JDO85" s="267"/>
      <c r="JDP85" s="268"/>
      <c r="JDQ85" s="267"/>
      <c r="JDR85" s="268"/>
      <c r="JDS85" s="267"/>
      <c r="JDT85" s="268"/>
      <c r="JDU85" s="267"/>
      <c r="JDV85" s="268"/>
      <c r="JDW85" s="267"/>
      <c r="JDX85" s="268"/>
      <c r="JDY85" s="267"/>
      <c r="JDZ85" s="268"/>
      <c r="JEA85" s="267"/>
      <c r="JEB85" s="268"/>
      <c r="JEC85" s="267"/>
      <c r="JED85" s="268"/>
      <c r="JEE85" s="267"/>
      <c r="JEF85" s="268"/>
      <c r="JEG85" s="267"/>
      <c r="JEH85" s="268"/>
      <c r="JEI85" s="267"/>
      <c r="JEJ85" s="268"/>
      <c r="JEK85" s="267"/>
      <c r="JEL85" s="268"/>
      <c r="JEM85" s="267"/>
      <c r="JEN85" s="268"/>
      <c r="JEO85" s="267"/>
      <c r="JEP85" s="268"/>
      <c r="JEQ85" s="267"/>
      <c r="JER85" s="268"/>
      <c r="JES85" s="267"/>
      <c r="JET85" s="268"/>
      <c r="JEU85" s="267"/>
      <c r="JEV85" s="268"/>
      <c r="JEW85" s="267"/>
      <c r="JEX85" s="268"/>
      <c r="JEY85" s="267"/>
      <c r="JEZ85" s="268"/>
      <c r="JFA85" s="267"/>
      <c r="JFB85" s="268"/>
      <c r="JFC85" s="267"/>
      <c r="JFD85" s="268"/>
      <c r="JFE85" s="267"/>
      <c r="JFF85" s="268"/>
      <c r="JFG85" s="267"/>
      <c r="JFH85" s="268"/>
      <c r="JFI85" s="267"/>
      <c r="JFJ85" s="268"/>
      <c r="JFK85" s="267"/>
      <c r="JFL85" s="268"/>
      <c r="JFM85" s="267"/>
      <c r="JFN85" s="268"/>
      <c r="JFO85" s="267"/>
      <c r="JFP85" s="268"/>
      <c r="JFQ85" s="267"/>
      <c r="JFR85" s="268"/>
      <c r="JFS85" s="267"/>
      <c r="JFT85" s="268"/>
      <c r="JFU85" s="267"/>
      <c r="JFV85" s="268"/>
      <c r="JFW85" s="267"/>
      <c r="JFX85" s="268"/>
      <c r="JFY85" s="267"/>
      <c r="JFZ85" s="268"/>
      <c r="JGA85" s="267"/>
      <c r="JGB85" s="268"/>
      <c r="JGC85" s="267"/>
      <c r="JGD85" s="268"/>
      <c r="JGE85" s="267"/>
      <c r="JGF85" s="268"/>
      <c r="JGG85" s="267"/>
      <c r="JGH85" s="268"/>
      <c r="JGI85" s="267"/>
      <c r="JGJ85" s="268"/>
      <c r="JGK85" s="267"/>
      <c r="JGL85" s="268"/>
      <c r="JGM85" s="267"/>
      <c r="JGN85" s="268"/>
      <c r="JGO85" s="267"/>
      <c r="JGP85" s="268"/>
      <c r="JGQ85" s="267"/>
      <c r="JGR85" s="268"/>
      <c r="JGS85" s="267"/>
      <c r="JGT85" s="268"/>
      <c r="JGU85" s="267"/>
      <c r="JGV85" s="268"/>
      <c r="JGW85" s="267"/>
      <c r="JGX85" s="268"/>
      <c r="JGY85" s="267"/>
      <c r="JGZ85" s="268"/>
      <c r="JHA85" s="267"/>
      <c r="JHB85" s="268"/>
      <c r="JHC85" s="267"/>
      <c r="JHD85" s="268"/>
      <c r="JHE85" s="267"/>
      <c r="JHF85" s="268"/>
      <c r="JHG85" s="267"/>
      <c r="JHH85" s="268"/>
      <c r="JHI85" s="267"/>
      <c r="JHJ85" s="268"/>
      <c r="JHK85" s="267"/>
      <c r="JHL85" s="268"/>
      <c r="JHM85" s="267"/>
      <c r="JHN85" s="268"/>
      <c r="JHO85" s="267"/>
      <c r="JHP85" s="268"/>
      <c r="JHQ85" s="267"/>
      <c r="JHR85" s="268"/>
      <c r="JHS85" s="267"/>
      <c r="JHT85" s="268"/>
      <c r="JHU85" s="267"/>
      <c r="JHV85" s="268"/>
      <c r="JHW85" s="267"/>
      <c r="JHX85" s="268"/>
      <c r="JHY85" s="267"/>
      <c r="JHZ85" s="268"/>
      <c r="JIA85" s="267"/>
      <c r="JIB85" s="268"/>
      <c r="JIC85" s="267"/>
      <c r="JID85" s="268"/>
      <c r="JIE85" s="267"/>
      <c r="JIF85" s="268"/>
      <c r="JIG85" s="267"/>
      <c r="JIH85" s="268"/>
      <c r="JII85" s="267"/>
      <c r="JIJ85" s="268"/>
      <c r="JIK85" s="267"/>
      <c r="JIL85" s="268"/>
      <c r="JIM85" s="267"/>
      <c r="JIN85" s="268"/>
      <c r="JIO85" s="267"/>
      <c r="JIP85" s="268"/>
      <c r="JIQ85" s="267"/>
      <c r="JIR85" s="268"/>
      <c r="JIS85" s="267"/>
      <c r="JIT85" s="268"/>
      <c r="JIU85" s="267"/>
      <c r="JIV85" s="268"/>
      <c r="JIW85" s="267"/>
      <c r="JIX85" s="268"/>
      <c r="JIY85" s="267"/>
      <c r="JIZ85" s="268"/>
      <c r="JJA85" s="267"/>
      <c r="JJB85" s="268"/>
      <c r="JJC85" s="267"/>
      <c r="JJD85" s="268"/>
      <c r="JJE85" s="267"/>
      <c r="JJF85" s="268"/>
      <c r="JJG85" s="267"/>
      <c r="JJH85" s="268"/>
      <c r="JJI85" s="267"/>
      <c r="JJJ85" s="268"/>
      <c r="JJK85" s="267"/>
      <c r="JJL85" s="268"/>
      <c r="JJM85" s="267"/>
      <c r="JJN85" s="268"/>
      <c r="JJO85" s="267"/>
      <c r="JJP85" s="268"/>
      <c r="JJQ85" s="267"/>
      <c r="JJR85" s="268"/>
      <c r="JJS85" s="267"/>
      <c r="JJT85" s="268"/>
      <c r="JJU85" s="267"/>
      <c r="JJV85" s="268"/>
      <c r="JJW85" s="267"/>
      <c r="JJX85" s="268"/>
      <c r="JJY85" s="267"/>
      <c r="JJZ85" s="268"/>
      <c r="JKA85" s="267"/>
      <c r="JKB85" s="268"/>
      <c r="JKC85" s="267"/>
      <c r="JKD85" s="268"/>
      <c r="JKE85" s="267"/>
      <c r="JKF85" s="268"/>
      <c r="JKG85" s="267"/>
      <c r="JKH85" s="268"/>
      <c r="JKI85" s="267"/>
      <c r="JKJ85" s="268"/>
      <c r="JKK85" s="267"/>
      <c r="JKL85" s="268"/>
      <c r="JKM85" s="267"/>
      <c r="JKN85" s="268"/>
      <c r="JKO85" s="267"/>
      <c r="JKP85" s="268"/>
      <c r="JKQ85" s="267"/>
      <c r="JKR85" s="268"/>
      <c r="JKS85" s="267"/>
      <c r="JKT85" s="268"/>
      <c r="JKU85" s="267"/>
      <c r="JKV85" s="268"/>
      <c r="JKW85" s="267"/>
      <c r="JKX85" s="268"/>
      <c r="JKY85" s="267"/>
      <c r="JKZ85" s="268"/>
      <c r="JLA85" s="267"/>
      <c r="JLB85" s="268"/>
      <c r="JLC85" s="267"/>
      <c r="JLD85" s="268"/>
      <c r="JLE85" s="267"/>
      <c r="JLF85" s="268"/>
      <c r="JLG85" s="267"/>
      <c r="JLH85" s="268"/>
      <c r="JLI85" s="267"/>
      <c r="JLJ85" s="268"/>
      <c r="JLK85" s="267"/>
      <c r="JLL85" s="268"/>
      <c r="JLM85" s="267"/>
      <c r="JLN85" s="268"/>
      <c r="JLO85" s="267"/>
      <c r="JLP85" s="268"/>
      <c r="JLQ85" s="267"/>
      <c r="JLR85" s="268"/>
      <c r="JLS85" s="267"/>
      <c r="JLT85" s="268"/>
      <c r="JLU85" s="267"/>
      <c r="JLV85" s="268"/>
      <c r="JLW85" s="267"/>
      <c r="JLX85" s="268"/>
      <c r="JLY85" s="267"/>
      <c r="JLZ85" s="268"/>
      <c r="JMA85" s="267"/>
      <c r="JMB85" s="268"/>
      <c r="JMC85" s="267"/>
      <c r="JMD85" s="268"/>
      <c r="JME85" s="267"/>
      <c r="JMF85" s="268"/>
      <c r="JMG85" s="267"/>
      <c r="JMH85" s="268"/>
      <c r="JMI85" s="267"/>
      <c r="JMJ85" s="268"/>
      <c r="JMK85" s="267"/>
      <c r="JML85" s="268"/>
      <c r="JMM85" s="267"/>
      <c r="JMN85" s="268"/>
      <c r="JMO85" s="267"/>
      <c r="JMP85" s="268"/>
      <c r="JMQ85" s="267"/>
      <c r="JMR85" s="268"/>
      <c r="JMS85" s="267"/>
      <c r="JMT85" s="268"/>
      <c r="JMU85" s="267"/>
      <c r="JMV85" s="268"/>
      <c r="JMW85" s="267"/>
      <c r="JMX85" s="268"/>
      <c r="JMY85" s="267"/>
      <c r="JMZ85" s="268"/>
      <c r="JNA85" s="267"/>
      <c r="JNB85" s="268"/>
      <c r="JNC85" s="267"/>
      <c r="JND85" s="268"/>
      <c r="JNE85" s="267"/>
      <c r="JNF85" s="268"/>
      <c r="JNG85" s="267"/>
      <c r="JNH85" s="268"/>
      <c r="JNI85" s="267"/>
      <c r="JNJ85" s="268"/>
      <c r="JNK85" s="267"/>
      <c r="JNL85" s="268"/>
      <c r="JNM85" s="267"/>
      <c r="JNN85" s="268"/>
      <c r="JNO85" s="267"/>
      <c r="JNP85" s="268"/>
      <c r="JNQ85" s="267"/>
      <c r="JNR85" s="268"/>
      <c r="JNS85" s="267"/>
      <c r="JNT85" s="268"/>
      <c r="JNU85" s="267"/>
      <c r="JNV85" s="268"/>
      <c r="JNW85" s="267"/>
      <c r="JNX85" s="268"/>
      <c r="JNY85" s="267"/>
      <c r="JNZ85" s="268"/>
      <c r="JOA85" s="267"/>
      <c r="JOB85" s="268"/>
      <c r="JOC85" s="267"/>
      <c r="JOD85" s="268"/>
      <c r="JOE85" s="267"/>
      <c r="JOF85" s="268"/>
      <c r="JOG85" s="267"/>
      <c r="JOH85" s="268"/>
      <c r="JOI85" s="267"/>
      <c r="JOJ85" s="268"/>
      <c r="JOK85" s="267"/>
      <c r="JOL85" s="268"/>
      <c r="JOM85" s="267"/>
      <c r="JON85" s="268"/>
      <c r="JOO85" s="267"/>
      <c r="JOP85" s="268"/>
      <c r="JOQ85" s="267"/>
      <c r="JOR85" s="268"/>
      <c r="JOS85" s="267"/>
      <c r="JOT85" s="268"/>
      <c r="JOU85" s="267"/>
      <c r="JOV85" s="268"/>
      <c r="JOW85" s="267"/>
      <c r="JOX85" s="268"/>
      <c r="JOY85" s="267"/>
      <c r="JOZ85" s="268"/>
      <c r="JPA85" s="267"/>
      <c r="JPB85" s="268"/>
      <c r="JPC85" s="267"/>
      <c r="JPD85" s="268"/>
      <c r="JPE85" s="267"/>
      <c r="JPF85" s="268"/>
      <c r="JPG85" s="267"/>
      <c r="JPH85" s="268"/>
      <c r="JPI85" s="267"/>
      <c r="JPJ85" s="268"/>
      <c r="JPK85" s="267"/>
      <c r="JPL85" s="268"/>
      <c r="JPM85" s="267"/>
      <c r="JPN85" s="268"/>
      <c r="JPO85" s="267"/>
      <c r="JPP85" s="268"/>
      <c r="JPQ85" s="267"/>
      <c r="JPR85" s="268"/>
      <c r="JPS85" s="267"/>
      <c r="JPT85" s="268"/>
      <c r="JPU85" s="267"/>
      <c r="JPV85" s="268"/>
      <c r="JPW85" s="267"/>
      <c r="JPX85" s="268"/>
      <c r="JPY85" s="267"/>
      <c r="JPZ85" s="268"/>
      <c r="JQA85" s="267"/>
      <c r="JQB85" s="268"/>
      <c r="JQC85" s="267"/>
      <c r="JQD85" s="268"/>
      <c r="JQE85" s="267"/>
      <c r="JQF85" s="268"/>
      <c r="JQG85" s="267"/>
      <c r="JQH85" s="268"/>
      <c r="JQI85" s="267"/>
      <c r="JQJ85" s="268"/>
      <c r="JQK85" s="267"/>
      <c r="JQL85" s="268"/>
      <c r="JQM85" s="267"/>
      <c r="JQN85" s="268"/>
      <c r="JQO85" s="267"/>
      <c r="JQP85" s="268"/>
      <c r="JQQ85" s="267"/>
      <c r="JQR85" s="268"/>
      <c r="JQS85" s="267"/>
      <c r="JQT85" s="268"/>
      <c r="JQU85" s="267"/>
      <c r="JQV85" s="268"/>
      <c r="JQW85" s="267"/>
      <c r="JQX85" s="268"/>
      <c r="JQY85" s="267"/>
      <c r="JQZ85" s="268"/>
      <c r="JRA85" s="267"/>
      <c r="JRB85" s="268"/>
      <c r="JRC85" s="267"/>
      <c r="JRD85" s="268"/>
      <c r="JRE85" s="267"/>
      <c r="JRF85" s="268"/>
      <c r="JRG85" s="267"/>
      <c r="JRH85" s="268"/>
      <c r="JRI85" s="267"/>
      <c r="JRJ85" s="268"/>
      <c r="JRK85" s="267"/>
      <c r="JRL85" s="268"/>
      <c r="JRM85" s="267"/>
      <c r="JRN85" s="268"/>
      <c r="JRO85" s="267"/>
      <c r="JRP85" s="268"/>
      <c r="JRQ85" s="267"/>
      <c r="JRR85" s="268"/>
      <c r="JRS85" s="267"/>
      <c r="JRT85" s="268"/>
      <c r="JRU85" s="267"/>
      <c r="JRV85" s="268"/>
      <c r="JRW85" s="267"/>
      <c r="JRX85" s="268"/>
      <c r="JRY85" s="267"/>
      <c r="JRZ85" s="268"/>
      <c r="JSA85" s="267"/>
      <c r="JSB85" s="268"/>
      <c r="JSC85" s="267"/>
      <c r="JSD85" s="268"/>
      <c r="JSE85" s="267"/>
      <c r="JSF85" s="268"/>
      <c r="JSG85" s="267"/>
      <c r="JSH85" s="268"/>
      <c r="JSI85" s="267"/>
      <c r="JSJ85" s="268"/>
      <c r="JSK85" s="267"/>
      <c r="JSL85" s="268"/>
      <c r="JSM85" s="267"/>
      <c r="JSN85" s="268"/>
      <c r="JSO85" s="267"/>
      <c r="JSP85" s="268"/>
      <c r="JSQ85" s="267"/>
      <c r="JSR85" s="268"/>
      <c r="JSS85" s="267"/>
      <c r="JST85" s="268"/>
      <c r="JSU85" s="267"/>
      <c r="JSV85" s="268"/>
      <c r="JSW85" s="267"/>
      <c r="JSX85" s="268"/>
      <c r="JSY85" s="267"/>
      <c r="JSZ85" s="268"/>
      <c r="JTA85" s="267"/>
      <c r="JTB85" s="268"/>
      <c r="JTC85" s="267"/>
      <c r="JTD85" s="268"/>
      <c r="JTE85" s="267"/>
      <c r="JTF85" s="268"/>
      <c r="JTG85" s="267"/>
      <c r="JTH85" s="268"/>
      <c r="JTI85" s="267"/>
      <c r="JTJ85" s="268"/>
      <c r="JTK85" s="267"/>
      <c r="JTL85" s="268"/>
      <c r="JTM85" s="267"/>
      <c r="JTN85" s="268"/>
      <c r="JTO85" s="267"/>
      <c r="JTP85" s="268"/>
      <c r="JTQ85" s="267"/>
      <c r="JTR85" s="268"/>
      <c r="JTS85" s="267"/>
      <c r="JTT85" s="268"/>
      <c r="JTU85" s="267"/>
      <c r="JTV85" s="268"/>
      <c r="JTW85" s="267"/>
      <c r="JTX85" s="268"/>
      <c r="JTY85" s="267"/>
      <c r="JTZ85" s="268"/>
      <c r="JUA85" s="267"/>
      <c r="JUB85" s="268"/>
      <c r="JUC85" s="267"/>
      <c r="JUD85" s="268"/>
      <c r="JUE85" s="267"/>
      <c r="JUF85" s="268"/>
      <c r="JUG85" s="267"/>
      <c r="JUH85" s="268"/>
      <c r="JUI85" s="267"/>
      <c r="JUJ85" s="268"/>
      <c r="JUK85" s="267"/>
      <c r="JUL85" s="268"/>
      <c r="JUM85" s="267"/>
      <c r="JUN85" s="268"/>
      <c r="JUO85" s="267"/>
      <c r="JUP85" s="268"/>
      <c r="JUQ85" s="267"/>
      <c r="JUR85" s="268"/>
      <c r="JUS85" s="267"/>
      <c r="JUT85" s="268"/>
      <c r="JUU85" s="267"/>
      <c r="JUV85" s="268"/>
      <c r="JUW85" s="267"/>
      <c r="JUX85" s="268"/>
      <c r="JUY85" s="267"/>
      <c r="JUZ85" s="268"/>
      <c r="JVA85" s="267"/>
      <c r="JVB85" s="268"/>
      <c r="JVC85" s="267"/>
      <c r="JVD85" s="268"/>
      <c r="JVE85" s="267"/>
      <c r="JVF85" s="268"/>
      <c r="JVG85" s="267"/>
      <c r="JVH85" s="268"/>
      <c r="JVI85" s="267"/>
      <c r="JVJ85" s="268"/>
      <c r="JVK85" s="267"/>
      <c r="JVL85" s="268"/>
      <c r="JVM85" s="267"/>
      <c r="JVN85" s="268"/>
      <c r="JVO85" s="267"/>
      <c r="JVP85" s="268"/>
      <c r="JVQ85" s="267"/>
      <c r="JVR85" s="268"/>
      <c r="JVS85" s="267"/>
      <c r="JVT85" s="268"/>
      <c r="JVU85" s="267"/>
      <c r="JVV85" s="268"/>
      <c r="JVW85" s="267"/>
      <c r="JVX85" s="268"/>
      <c r="JVY85" s="267"/>
      <c r="JVZ85" s="268"/>
      <c r="JWA85" s="267"/>
      <c r="JWB85" s="268"/>
      <c r="JWC85" s="267"/>
      <c r="JWD85" s="268"/>
      <c r="JWE85" s="267"/>
      <c r="JWF85" s="268"/>
      <c r="JWG85" s="267"/>
      <c r="JWH85" s="268"/>
      <c r="JWI85" s="267"/>
      <c r="JWJ85" s="268"/>
      <c r="JWK85" s="267"/>
      <c r="JWL85" s="268"/>
      <c r="JWM85" s="267"/>
      <c r="JWN85" s="268"/>
      <c r="JWO85" s="267"/>
      <c r="JWP85" s="268"/>
      <c r="JWQ85" s="267"/>
      <c r="JWR85" s="268"/>
      <c r="JWS85" s="267"/>
      <c r="JWT85" s="268"/>
      <c r="JWU85" s="267"/>
      <c r="JWV85" s="268"/>
      <c r="JWW85" s="267"/>
      <c r="JWX85" s="268"/>
      <c r="JWY85" s="267"/>
      <c r="JWZ85" s="268"/>
      <c r="JXA85" s="267"/>
      <c r="JXB85" s="268"/>
      <c r="JXC85" s="267"/>
      <c r="JXD85" s="268"/>
      <c r="JXE85" s="267"/>
      <c r="JXF85" s="268"/>
      <c r="JXG85" s="267"/>
      <c r="JXH85" s="268"/>
      <c r="JXI85" s="267"/>
      <c r="JXJ85" s="268"/>
      <c r="JXK85" s="267"/>
      <c r="JXL85" s="268"/>
      <c r="JXM85" s="267"/>
      <c r="JXN85" s="268"/>
      <c r="JXO85" s="267"/>
      <c r="JXP85" s="268"/>
      <c r="JXQ85" s="267"/>
      <c r="JXR85" s="268"/>
      <c r="JXS85" s="267"/>
      <c r="JXT85" s="268"/>
      <c r="JXU85" s="267"/>
      <c r="JXV85" s="268"/>
      <c r="JXW85" s="267"/>
      <c r="JXX85" s="268"/>
      <c r="JXY85" s="267"/>
      <c r="JXZ85" s="268"/>
      <c r="JYA85" s="267"/>
      <c r="JYB85" s="268"/>
      <c r="JYC85" s="267"/>
      <c r="JYD85" s="268"/>
      <c r="JYE85" s="267"/>
      <c r="JYF85" s="268"/>
      <c r="JYG85" s="267"/>
      <c r="JYH85" s="268"/>
      <c r="JYI85" s="267"/>
      <c r="JYJ85" s="268"/>
      <c r="JYK85" s="267"/>
      <c r="JYL85" s="268"/>
      <c r="JYM85" s="267"/>
      <c r="JYN85" s="268"/>
      <c r="JYO85" s="267"/>
      <c r="JYP85" s="268"/>
      <c r="JYQ85" s="267"/>
      <c r="JYR85" s="268"/>
      <c r="JYS85" s="267"/>
      <c r="JYT85" s="268"/>
      <c r="JYU85" s="267"/>
      <c r="JYV85" s="268"/>
      <c r="JYW85" s="267"/>
      <c r="JYX85" s="268"/>
      <c r="JYY85" s="267"/>
      <c r="JYZ85" s="268"/>
      <c r="JZA85" s="267"/>
      <c r="JZB85" s="268"/>
      <c r="JZC85" s="267"/>
      <c r="JZD85" s="268"/>
      <c r="JZE85" s="267"/>
      <c r="JZF85" s="268"/>
      <c r="JZG85" s="267"/>
      <c r="JZH85" s="268"/>
      <c r="JZI85" s="267"/>
      <c r="JZJ85" s="268"/>
      <c r="JZK85" s="267"/>
      <c r="JZL85" s="268"/>
      <c r="JZM85" s="267"/>
      <c r="JZN85" s="268"/>
      <c r="JZO85" s="267"/>
      <c r="JZP85" s="268"/>
      <c r="JZQ85" s="267"/>
      <c r="JZR85" s="268"/>
      <c r="JZS85" s="267"/>
      <c r="JZT85" s="268"/>
      <c r="JZU85" s="267"/>
      <c r="JZV85" s="268"/>
      <c r="JZW85" s="267"/>
      <c r="JZX85" s="268"/>
      <c r="JZY85" s="267"/>
      <c r="JZZ85" s="268"/>
      <c r="KAA85" s="267"/>
      <c r="KAB85" s="268"/>
      <c r="KAC85" s="267"/>
      <c r="KAD85" s="268"/>
      <c r="KAE85" s="267"/>
      <c r="KAF85" s="268"/>
      <c r="KAG85" s="267"/>
      <c r="KAH85" s="268"/>
      <c r="KAI85" s="267"/>
      <c r="KAJ85" s="268"/>
      <c r="KAK85" s="267"/>
      <c r="KAL85" s="268"/>
      <c r="KAM85" s="267"/>
      <c r="KAN85" s="268"/>
      <c r="KAO85" s="267"/>
      <c r="KAP85" s="268"/>
      <c r="KAQ85" s="267"/>
      <c r="KAR85" s="268"/>
      <c r="KAS85" s="267"/>
      <c r="KAT85" s="268"/>
      <c r="KAU85" s="267"/>
      <c r="KAV85" s="268"/>
      <c r="KAW85" s="267"/>
      <c r="KAX85" s="268"/>
      <c r="KAY85" s="267"/>
      <c r="KAZ85" s="268"/>
      <c r="KBA85" s="267"/>
      <c r="KBB85" s="268"/>
      <c r="KBC85" s="267"/>
      <c r="KBD85" s="268"/>
      <c r="KBE85" s="267"/>
      <c r="KBF85" s="268"/>
      <c r="KBG85" s="267"/>
      <c r="KBH85" s="268"/>
      <c r="KBI85" s="267"/>
      <c r="KBJ85" s="268"/>
      <c r="KBK85" s="267"/>
      <c r="KBL85" s="268"/>
      <c r="KBM85" s="267"/>
      <c r="KBN85" s="268"/>
      <c r="KBO85" s="267"/>
      <c r="KBP85" s="268"/>
      <c r="KBQ85" s="267"/>
      <c r="KBR85" s="268"/>
      <c r="KBS85" s="267"/>
      <c r="KBT85" s="268"/>
      <c r="KBU85" s="267"/>
      <c r="KBV85" s="268"/>
      <c r="KBW85" s="267"/>
      <c r="KBX85" s="268"/>
      <c r="KBY85" s="267"/>
      <c r="KBZ85" s="268"/>
      <c r="KCA85" s="267"/>
      <c r="KCB85" s="268"/>
      <c r="KCC85" s="267"/>
      <c r="KCD85" s="268"/>
      <c r="KCE85" s="267"/>
      <c r="KCF85" s="268"/>
      <c r="KCG85" s="267"/>
      <c r="KCH85" s="268"/>
      <c r="KCI85" s="267"/>
      <c r="KCJ85" s="268"/>
      <c r="KCK85" s="267"/>
      <c r="KCL85" s="268"/>
      <c r="KCM85" s="267"/>
      <c r="KCN85" s="268"/>
      <c r="KCO85" s="267"/>
      <c r="KCP85" s="268"/>
      <c r="KCQ85" s="267"/>
      <c r="KCR85" s="268"/>
      <c r="KCS85" s="267"/>
      <c r="KCT85" s="268"/>
      <c r="KCU85" s="267"/>
      <c r="KCV85" s="268"/>
      <c r="KCW85" s="267"/>
      <c r="KCX85" s="268"/>
      <c r="KCY85" s="267"/>
      <c r="KCZ85" s="268"/>
      <c r="KDA85" s="267"/>
      <c r="KDB85" s="268"/>
      <c r="KDC85" s="267"/>
      <c r="KDD85" s="268"/>
      <c r="KDE85" s="267"/>
      <c r="KDF85" s="268"/>
      <c r="KDG85" s="267"/>
      <c r="KDH85" s="268"/>
      <c r="KDI85" s="267"/>
      <c r="KDJ85" s="268"/>
      <c r="KDK85" s="267"/>
      <c r="KDL85" s="268"/>
      <c r="KDM85" s="267"/>
      <c r="KDN85" s="268"/>
      <c r="KDO85" s="267"/>
      <c r="KDP85" s="268"/>
      <c r="KDQ85" s="267"/>
      <c r="KDR85" s="268"/>
      <c r="KDS85" s="267"/>
      <c r="KDT85" s="268"/>
      <c r="KDU85" s="267"/>
      <c r="KDV85" s="268"/>
      <c r="KDW85" s="267"/>
      <c r="KDX85" s="268"/>
      <c r="KDY85" s="267"/>
      <c r="KDZ85" s="268"/>
      <c r="KEA85" s="267"/>
      <c r="KEB85" s="268"/>
      <c r="KEC85" s="267"/>
      <c r="KED85" s="268"/>
      <c r="KEE85" s="267"/>
      <c r="KEF85" s="268"/>
      <c r="KEG85" s="267"/>
      <c r="KEH85" s="268"/>
      <c r="KEI85" s="267"/>
      <c r="KEJ85" s="268"/>
      <c r="KEK85" s="267"/>
      <c r="KEL85" s="268"/>
      <c r="KEM85" s="267"/>
      <c r="KEN85" s="268"/>
      <c r="KEO85" s="267"/>
      <c r="KEP85" s="268"/>
      <c r="KEQ85" s="267"/>
      <c r="KER85" s="268"/>
      <c r="KES85" s="267"/>
      <c r="KET85" s="268"/>
      <c r="KEU85" s="267"/>
      <c r="KEV85" s="268"/>
      <c r="KEW85" s="267"/>
      <c r="KEX85" s="268"/>
      <c r="KEY85" s="267"/>
      <c r="KEZ85" s="268"/>
      <c r="KFA85" s="267"/>
      <c r="KFB85" s="268"/>
      <c r="KFC85" s="267"/>
      <c r="KFD85" s="268"/>
      <c r="KFE85" s="267"/>
      <c r="KFF85" s="268"/>
      <c r="KFG85" s="267"/>
      <c r="KFH85" s="268"/>
      <c r="KFI85" s="267"/>
      <c r="KFJ85" s="268"/>
      <c r="KFK85" s="267"/>
      <c r="KFL85" s="268"/>
      <c r="KFM85" s="267"/>
      <c r="KFN85" s="268"/>
      <c r="KFO85" s="267"/>
      <c r="KFP85" s="268"/>
      <c r="KFQ85" s="267"/>
      <c r="KFR85" s="268"/>
      <c r="KFS85" s="267"/>
      <c r="KFT85" s="268"/>
      <c r="KFU85" s="267"/>
      <c r="KFV85" s="268"/>
      <c r="KFW85" s="267"/>
      <c r="KFX85" s="268"/>
      <c r="KFY85" s="267"/>
      <c r="KFZ85" s="268"/>
      <c r="KGA85" s="267"/>
      <c r="KGB85" s="268"/>
      <c r="KGC85" s="267"/>
      <c r="KGD85" s="268"/>
      <c r="KGE85" s="267"/>
      <c r="KGF85" s="268"/>
      <c r="KGG85" s="267"/>
      <c r="KGH85" s="268"/>
      <c r="KGI85" s="267"/>
      <c r="KGJ85" s="268"/>
      <c r="KGK85" s="267"/>
      <c r="KGL85" s="268"/>
      <c r="KGM85" s="267"/>
      <c r="KGN85" s="268"/>
      <c r="KGO85" s="267"/>
      <c r="KGP85" s="268"/>
      <c r="KGQ85" s="267"/>
      <c r="KGR85" s="268"/>
      <c r="KGS85" s="267"/>
      <c r="KGT85" s="268"/>
      <c r="KGU85" s="267"/>
      <c r="KGV85" s="268"/>
      <c r="KGW85" s="267"/>
      <c r="KGX85" s="268"/>
      <c r="KGY85" s="267"/>
      <c r="KGZ85" s="268"/>
      <c r="KHA85" s="267"/>
      <c r="KHB85" s="268"/>
      <c r="KHC85" s="267"/>
      <c r="KHD85" s="268"/>
      <c r="KHE85" s="267"/>
      <c r="KHF85" s="268"/>
      <c r="KHG85" s="267"/>
      <c r="KHH85" s="268"/>
      <c r="KHI85" s="267"/>
      <c r="KHJ85" s="268"/>
      <c r="KHK85" s="267"/>
      <c r="KHL85" s="268"/>
      <c r="KHM85" s="267"/>
      <c r="KHN85" s="268"/>
      <c r="KHO85" s="267"/>
      <c r="KHP85" s="268"/>
      <c r="KHQ85" s="267"/>
      <c r="KHR85" s="268"/>
      <c r="KHS85" s="267"/>
      <c r="KHT85" s="268"/>
      <c r="KHU85" s="267"/>
      <c r="KHV85" s="268"/>
      <c r="KHW85" s="267"/>
      <c r="KHX85" s="268"/>
      <c r="KHY85" s="267"/>
      <c r="KHZ85" s="268"/>
      <c r="KIA85" s="267"/>
      <c r="KIB85" s="268"/>
      <c r="KIC85" s="267"/>
      <c r="KID85" s="268"/>
      <c r="KIE85" s="267"/>
      <c r="KIF85" s="268"/>
      <c r="KIG85" s="267"/>
      <c r="KIH85" s="268"/>
      <c r="KII85" s="267"/>
      <c r="KIJ85" s="268"/>
      <c r="KIK85" s="267"/>
      <c r="KIL85" s="268"/>
      <c r="KIM85" s="267"/>
      <c r="KIN85" s="268"/>
      <c r="KIO85" s="267"/>
      <c r="KIP85" s="268"/>
      <c r="KIQ85" s="267"/>
      <c r="KIR85" s="268"/>
      <c r="KIS85" s="267"/>
      <c r="KIT85" s="268"/>
      <c r="KIU85" s="267"/>
      <c r="KIV85" s="268"/>
      <c r="KIW85" s="267"/>
      <c r="KIX85" s="268"/>
      <c r="KIY85" s="267"/>
      <c r="KIZ85" s="268"/>
      <c r="KJA85" s="267"/>
      <c r="KJB85" s="268"/>
      <c r="KJC85" s="267"/>
      <c r="KJD85" s="268"/>
      <c r="KJE85" s="267"/>
      <c r="KJF85" s="268"/>
      <c r="KJG85" s="267"/>
      <c r="KJH85" s="268"/>
      <c r="KJI85" s="267"/>
      <c r="KJJ85" s="268"/>
      <c r="KJK85" s="267"/>
      <c r="KJL85" s="268"/>
      <c r="KJM85" s="267"/>
      <c r="KJN85" s="268"/>
      <c r="KJO85" s="267"/>
      <c r="KJP85" s="268"/>
      <c r="KJQ85" s="267"/>
      <c r="KJR85" s="268"/>
      <c r="KJS85" s="267"/>
      <c r="KJT85" s="268"/>
      <c r="KJU85" s="267"/>
      <c r="KJV85" s="268"/>
      <c r="KJW85" s="267"/>
      <c r="KJX85" s="268"/>
      <c r="KJY85" s="267"/>
      <c r="KJZ85" s="268"/>
      <c r="KKA85" s="267"/>
      <c r="KKB85" s="268"/>
      <c r="KKC85" s="267"/>
      <c r="KKD85" s="268"/>
      <c r="KKE85" s="267"/>
      <c r="KKF85" s="268"/>
      <c r="KKG85" s="267"/>
      <c r="KKH85" s="268"/>
      <c r="KKI85" s="267"/>
      <c r="KKJ85" s="268"/>
      <c r="KKK85" s="267"/>
      <c r="KKL85" s="268"/>
      <c r="KKM85" s="267"/>
      <c r="KKN85" s="268"/>
      <c r="KKO85" s="267"/>
      <c r="KKP85" s="268"/>
      <c r="KKQ85" s="267"/>
      <c r="KKR85" s="268"/>
      <c r="KKS85" s="267"/>
      <c r="KKT85" s="268"/>
      <c r="KKU85" s="267"/>
      <c r="KKV85" s="268"/>
      <c r="KKW85" s="267"/>
      <c r="KKX85" s="268"/>
      <c r="KKY85" s="267"/>
      <c r="KKZ85" s="268"/>
      <c r="KLA85" s="267"/>
      <c r="KLB85" s="268"/>
      <c r="KLC85" s="267"/>
      <c r="KLD85" s="268"/>
      <c r="KLE85" s="267"/>
      <c r="KLF85" s="268"/>
      <c r="KLG85" s="267"/>
      <c r="KLH85" s="268"/>
      <c r="KLI85" s="267"/>
      <c r="KLJ85" s="268"/>
      <c r="KLK85" s="267"/>
      <c r="KLL85" s="268"/>
      <c r="KLM85" s="267"/>
      <c r="KLN85" s="268"/>
      <c r="KLO85" s="267"/>
      <c r="KLP85" s="268"/>
      <c r="KLQ85" s="267"/>
      <c r="KLR85" s="268"/>
      <c r="KLS85" s="267"/>
      <c r="KLT85" s="268"/>
      <c r="KLU85" s="267"/>
      <c r="KLV85" s="268"/>
      <c r="KLW85" s="267"/>
      <c r="KLX85" s="268"/>
      <c r="KLY85" s="267"/>
      <c r="KLZ85" s="268"/>
      <c r="KMA85" s="267"/>
      <c r="KMB85" s="268"/>
      <c r="KMC85" s="267"/>
      <c r="KMD85" s="268"/>
      <c r="KME85" s="267"/>
      <c r="KMF85" s="268"/>
      <c r="KMG85" s="267"/>
      <c r="KMH85" s="268"/>
      <c r="KMI85" s="267"/>
      <c r="KMJ85" s="268"/>
      <c r="KMK85" s="267"/>
      <c r="KML85" s="268"/>
      <c r="KMM85" s="267"/>
      <c r="KMN85" s="268"/>
      <c r="KMO85" s="267"/>
      <c r="KMP85" s="268"/>
      <c r="KMQ85" s="267"/>
      <c r="KMR85" s="268"/>
      <c r="KMS85" s="267"/>
      <c r="KMT85" s="268"/>
      <c r="KMU85" s="267"/>
      <c r="KMV85" s="268"/>
      <c r="KMW85" s="267"/>
      <c r="KMX85" s="268"/>
      <c r="KMY85" s="267"/>
      <c r="KMZ85" s="268"/>
      <c r="KNA85" s="267"/>
      <c r="KNB85" s="268"/>
      <c r="KNC85" s="267"/>
      <c r="KND85" s="268"/>
      <c r="KNE85" s="267"/>
      <c r="KNF85" s="268"/>
      <c r="KNG85" s="267"/>
      <c r="KNH85" s="268"/>
      <c r="KNI85" s="267"/>
      <c r="KNJ85" s="268"/>
      <c r="KNK85" s="267"/>
      <c r="KNL85" s="268"/>
      <c r="KNM85" s="267"/>
      <c r="KNN85" s="268"/>
      <c r="KNO85" s="267"/>
      <c r="KNP85" s="268"/>
      <c r="KNQ85" s="267"/>
      <c r="KNR85" s="268"/>
      <c r="KNS85" s="267"/>
      <c r="KNT85" s="268"/>
      <c r="KNU85" s="267"/>
      <c r="KNV85" s="268"/>
      <c r="KNW85" s="267"/>
      <c r="KNX85" s="268"/>
      <c r="KNY85" s="267"/>
      <c r="KNZ85" s="268"/>
      <c r="KOA85" s="267"/>
      <c r="KOB85" s="268"/>
      <c r="KOC85" s="267"/>
      <c r="KOD85" s="268"/>
      <c r="KOE85" s="267"/>
      <c r="KOF85" s="268"/>
      <c r="KOG85" s="267"/>
      <c r="KOH85" s="268"/>
      <c r="KOI85" s="267"/>
      <c r="KOJ85" s="268"/>
      <c r="KOK85" s="267"/>
      <c r="KOL85" s="268"/>
      <c r="KOM85" s="267"/>
      <c r="KON85" s="268"/>
      <c r="KOO85" s="267"/>
      <c r="KOP85" s="268"/>
      <c r="KOQ85" s="267"/>
      <c r="KOR85" s="268"/>
      <c r="KOS85" s="267"/>
      <c r="KOT85" s="268"/>
      <c r="KOU85" s="267"/>
      <c r="KOV85" s="268"/>
      <c r="KOW85" s="267"/>
      <c r="KOX85" s="268"/>
      <c r="KOY85" s="267"/>
      <c r="KOZ85" s="268"/>
      <c r="KPA85" s="267"/>
      <c r="KPB85" s="268"/>
      <c r="KPC85" s="267"/>
      <c r="KPD85" s="268"/>
      <c r="KPE85" s="267"/>
      <c r="KPF85" s="268"/>
      <c r="KPG85" s="267"/>
      <c r="KPH85" s="268"/>
      <c r="KPI85" s="267"/>
      <c r="KPJ85" s="268"/>
      <c r="KPK85" s="267"/>
      <c r="KPL85" s="268"/>
      <c r="KPM85" s="267"/>
      <c r="KPN85" s="268"/>
      <c r="KPO85" s="267"/>
      <c r="KPP85" s="268"/>
      <c r="KPQ85" s="267"/>
      <c r="KPR85" s="268"/>
      <c r="KPS85" s="267"/>
      <c r="KPT85" s="268"/>
      <c r="KPU85" s="267"/>
      <c r="KPV85" s="268"/>
      <c r="KPW85" s="267"/>
      <c r="KPX85" s="268"/>
      <c r="KPY85" s="267"/>
      <c r="KPZ85" s="268"/>
      <c r="KQA85" s="267"/>
      <c r="KQB85" s="268"/>
      <c r="KQC85" s="267"/>
      <c r="KQD85" s="268"/>
      <c r="KQE85" s="267"/>
      <c r="KQF85" s="268"/>
      <c r="KQG85" s="267"/>
      <c r="KQH85" s="268"/>
      <c r="KQI85" s="267"/>
      <c r="KQJ85" s="268"/>
      <c r="KQK85" s="267"/>
      <c r="KQL85" s="268"/>
      <c r="KQM85" s="267"/>
      <c r="KQN85" s="268"/>
      <c r="KQO85" s="267"/>
      <c r="KQP85" s="268"/>
      <c r="KQQ85" s="267"/>
      <c r="KQR85" s="268"/>
      <c r="KQS85" s="267"/>
      <c r="KQT85" s="268"/>
      <c r="KQU85" s="267"/>
      <c r="KQV85" s="268"/>
      <c r="KQW85" s="267"/>
      <c r="KQX85" s="268"/>
      <c r="KQY85" s="267"/>
      <c r="KQZ85" s="268"/>
      <c r="KRA85" s="267"/>
      <c r="KRB85" s="268"/>
      <c r="KRC85" s="267"/>
      <c r="KRD85" s="268"/>
      <c r="KRE85" s="267"/>
      <c r="KRF85" s="268"/>
      <c r="KRG85" s="267"/>
      <c r="KRH85" s="268"/>
      <c r="KRI85" s="267"/>
      <c r="KRJ85" s="268"/>
      <c r="KRK85" s="267"/>
      <c r="KRL85" s="268"/>
      <c r="KRM85" s="267"/>
      <c r="KRN85" s="268"/>
      <c r="KRO85" s="267"/>
      <c r="KRP85" s="268"/>
      <c r="KRQ85" s="267"/>
      <c r="KRR85" s="268"/>
      <c r="KRS85" s="267"/>
      <c r="KRT85" s="268"/>
      <c r="KRU85" s="267"/>
      <c r="KRV85" s="268"/>
      <c r="KRW85" s="267"/>
      <c r="KRX85" s="268"/>
      <c r="KRY85" s="267"/>
      <c r="KRZ85" s="268"/>
      <c r="KSA85" s="267"/>
      <c r="KSB85" s="268"/>
      <c r="KSC85" s="267"/>
      <c r="KSD85" s="268"/>
      <c r="KSE85" s="267"/>
      <c r="KSF85" s="268"/>
      <c r="KSG85" s="267"/>
      <c r="KSH85" s="268"/>
      <c r="KSI85" s="267"/>
      <c r="KSJ85" s="268"/>
      <c r="KSK85" s="267"/>
      <c r="KSL85" s="268"/>
      <c r="KSM85" s="267"/>
      <c r="KSN85" s="268"/>
      <c r="KSO85" s="267"/>
      <c r="KSP85" s="268"/>
      <c r="KSQ85" s="267"/>
      <c r="KSR85" s="268"/>
      <c r="KSS85" s="267"/>
      <c r="KST85" s="268"/>
      <c r="KSU85" s="267"/>
      <c r="KSV85" s="268"/>
      <c r="KSW85" s="267"/>
      <c r="KSX85" s="268"/>
      <c r="KSY85" s="267"/>
      <c r="KSZ85" s="268"/>
      <c r="KTA85" s="267"/>
      <c r="KTB85" s="268"/>
      <c r="KTC85" s="267"/>
      <c r="KTD85" s="268"/>
      <c r="KTE85" s="267"/>
      <c r="KTF85" s="268"/>
      <c r="KTG85" s="267"/>
      <c r="KTH85" s="268"/>
      <c r="KTI85" s="267"/>
      <c r="KTJ85" s="268"/>
      <c r="KTK85" s="267"/>
      <c r="KTL85" s="268"/>
      <c r="KTM85" s="267"/>
      <c r="KTN85" s="268"/>
      <c r="KTO85" s="267"/>
      <c r="KTP85" s="268"/>
      <c r="KTQ85" s="267"/>
      <c r="KTR85" s="268"/>
      <c r="KTS85" s="267"/>
      <c r="KTT85" s="268"/>
      <c r="KTU85" s="267"/>
      <c r="KTV85" s="268"/>
      <c r="KTW85" s="267"/>
      <c r="KTX85" s="268"/>
      <c r="KTY85" s="267"/>
      <c r="KTZ85" s="268"/>
      <c r="KUA85" s="267"/>
      <c r="KUB85" s="268"/>
      <c r="KUC85" s="267"/>
      <c r="KUD85" s="268"/>
      <c r="KUE85" s="267"/>
      <c r="KUF85" s="268"/>
      <c r="KUG85" s="267"/>
      <c r="KUH85" s="268"/>
      <c r="KUI85" s="267"/>
      <c r="KUJ85" s="268"/>
      <c r="KUK85" s="267"/>
      <c r="KUL85" s="268"/>
      <c r="KUM85" s="267"/>
      <c r="KUN85" s="268"/>
      <c r="KUO85" s="267"/>
      <c r="KUP85" s="268"/>
      <c r="KUQ85" s="267"/>
      <c r="KUR85" s="268"/>
      <c r="KUS85" s="267"/>
      <c r="KUT85" s="268"/>
      <c r="KUU85" s="267"/>
      <c r="KUV85" s="268"/>
      <c r="KUW85" s="267"/>
      <c r="KUX85" s="268"/>
      <c r="KUY85" s="267"/>
      <c r="KUZ85" s="268"/>
      <c r="KVA85" s="267"/>
      <c r="KVB85" s="268"/>
      <c r="KVC85" s="267"/>
      <c r="KVD85" s="268"/>
      <c r="KVE85" s="267"/>
      <c r="KVF85" s="268"/>
      <c r="KVG85" s="267"/>
      <c r="KVH85" s="268"/>
      <c r="KVI85" s="267"/>
      <c r="KVJ85" s="268"/>
      <c r="KVK85" s="267"/>
      <c r="KVL85" s="268"/>
      <c r="KVM85" s="267"/>
      <c r="KVN85" s="268"/>
      <c r="KVO85" s="267"/>
      <c r="KVP85" s="268"/>
      <c r="KVQ85" s="267"/>
      <c r="KVR85" s="268"/>
      <c r="KVS85" s="267"/>
      <c r="KVT85" s="268"/>
      <c r="KVU85" s="267"/>
      <c r="KVV85" s="268"/>
      <c r="KVW85" s="267"/>
      <c r="KVX85" s="268"/>
      <c r="KVY85" s="267"/>
      <c r="KVZ85" s="268"/>
      <c r="KWA85" s="267"/>
      <c r="KWB85" s="268"/>
      <c r="KWC85" s="267"/>
      <c r="KWD85" s="268"/>
      <c r="KWE85" s="267"/>
      <c r="KWF85" s="268"/>
      <c r="KWG85" s="267"/>
      <c r="KWH85" s="268"/>
      <c r="KWI85" s="267"/>
      <c r="KWJ85" s="268"/>
      <c r="KWK85" s="267"/>
      <c r="KWL85" s="268"/>
      <c r="KWM85" s="267"/>
      <c r="KWN85" s="268"/>
      <c r="KWO85" s="267"/>
      <c r="KWP85" s="268"/>
      <c r="KWQ85" s="267"/>
      <c r="KWR85" s="268"/>
      <c r="KWS85" s="267"/>
      <c r="KWT85" s="268"/>
      <c r="KWU85" s="267"/>
      <c r="KWV85" s="268"/>
      <c r="KWW85" s="267"/>
      <c r="KWX85" s="268"/>
      <c r="KWY85" s="267"/>
      <c r="KWZ85" s="268"/>
      <c r="KXA85" s="267"/>
      <c r="KXB85" s="268"/>
      <c r="KXC85" s="267"/>
      <c r="KXD85" s="268"/>
      <c r="KXE85" s="267"/>
      <c r="KXF85" s="268"/>
      <c r="KXG85" s="267"/>
      <c r="KXH85" s="268"/>
      <c r="KXI85" s="267"/>
      <c r="KXJ85" s="268"/>
      <c r="KXK85" s="267"/>
      <c r="KXL85" s="268"/>
      <c r="KXM85" s="267"/>
      <c r="KXN85" s="268"/>
      <c r="KXO85" s="267"/>
      <c r="KXP85" s="268"/>
      <c r="KXQ85" s="267"/>
      <c r="KXR85" s="268"/>
      <c r="KXS85" s="267"/>
      <c r="KXT85" s="268"/>
      <c r="KXU85" s="267"/>
      <c r="KXV85" s="268"/>
      <c r="KXW85" s="267"/>
      <c r="KXX85" s="268"/>
      <c r="KXY85" s="267"/>
      <c r="KXZ85" s="268"/>
      <c r="KYA85" s="267"/>
      <c r="KYB85" s="268"/>
      <c r="KYC85" s="267"/>
      <c r="KYD85" s="268"/>
      <c r="KYE85" s="267"/>
      <c r="KYF85" s="268"/>
      <c r="KYG85" s="267"/>
      <c r="KYH85" s="268"/>
      <c r="KYI85" s="267"/>
      <c r="KYJ85" s="268"/>
      <c r="KYK85" s="267"/>
      <c r="KYL85" s="268"/>
      <c r="KYM85" s="267"/>
      <c r="KYN85" s="268"/>
      <c r="KYO85" s="267"/>
      <c r="KYP85" s="268"/>
      <c r="KYQ85" s="267"/>
      <c r="KYR85" s="268"/>
      <c r="KYS85" s="267"/>
      <c r="KYT85" s="268"/>
      <c r="KYU85" s="267"/>
      <c r="KYV85" s="268"/>
      <c r="KYW85" s="267"/>
      <c r="KYX85" s="268"/>
      <c r="KYY85" s="267"/>
      <c r="KYZ85" s="268"/>
      <c r="KZA85" s="267"/>
      <c r="KZB85" s="268"/>
      <c r="KZC85" s="267"/>
      <c r="KZD85" s="268"/>
      <c r="KZE85" s="267"/>
      <c r="KZF85" s="268"/>
      <c r="KZG85" s="267"/>
      <c r="KZH85" s="268"/>
      <c r="KZI85" s="267"/>
      <c r="KZJ85" s="268"/>
      <c r="KZK85" s="267"/>
      <c r="KZL85" s="268"/>
      <c r="KZM85" s="267"/>
      <c r="KZN85" s="268"/>
      <c r="KZO85" s="267"/>
      <c r="KZP85" s="268"/>
      <c r="KZQ85" s="267"/>
      <c r="KZR85" s="268"/>
      <c r="KZS85" s="267"/>
      <c r="KZT85" s="268"/>
      <c r="KZU85" s="267"/>
      <c r="KZV85" s="268"/>
      <c r="KZW85" s="267"/>
      <c r="KZX85" s="268"/>
      <c r="KZY85" s="267"/>
      <c r="KZZ85" s="268"/>
      <c r="LAA85" s="267"/>
      <c r="LAB85" s="268"/>
      <c r="LAC85" s="267"/>
      <c r="LAD85" s="268"/>
      <c r="LAE85" s="267"/>
      <c r="LAF85" s="268"/>
      <c r="LAG85" s="267"/>
      <c r="LAH85" s="268"/>
      <c r="LAI85" s="267"/>
      <c r="LAJ85" s="268"/>
      <c r="LAK85" s="267"/>
      <c r="LAL85" s="268"/>
      <c r="LAM85" s="267"/>
      <c r="LAN85" s="268"/>
      <c r="LAO85" s="267"/>
      <c r="LAP85" s="268"/>
      <c r="LAQ85" s="267"/>
      <c r="LAR85" s="268"/>
      <c r="LAS85" s="267"/>
      <c r="LAT85" s="268"/>
      <c r="LAU85" s="267"/>
      <c r="LAV85" s="268"/>
      <c r="LAW85" s="267"/>
      <c r="LAX85" s="268"/>
      <c r="LAY85" s="267"/>
      <c r="LAZ85" s="268"/>
      <c r="LBA85" s="267"/>
      <c r="LBB85" s="268"/>
      <c r="LBC85" s="267"/>
      <c r="LBD85" s="268"/>
      <c r="LBE85" s="267"/>
      <c r="LBF85" s="268"/>
      <c r="LBG85" s="267"/>
      <c r="LBH85" s="268"/>
      <c r="LBI85" s="267"/>
      <c r="LBJ85" s="268"/>
      <c r="LBK85" s="267"/>
      <c r="LBL85" s="268"/>
      <c r="LBM85" s="267"/>
      <c r="LBN85" s="268"/>
      <c r="LBO85" s="267"/>
      <c r="LBP85" s="268"/>
      <c r="LBQ85" s="267"/>
      <c r="LBR85" s="268"/>
      <c r="LBS85" s="267"/>
      <c r="LBT85" s="268"/>
      <c r="LBU85" s="267"/>
      <c r="LBV85" s="268"/>
      <c r="LBW85" s="267"/>
      <c r="LBX85" s="268"/>
      <c r="LBY85" s="267"/>
      <c r="LBZ85" s="268"/>
      <c r="LCA85" s="267"/>
      <c r="LCB85" s="268"/>
      <c r="LCC85" s="267"/>
      <c r="LCD85" s="268"/>
      <c r="LCE85" s="267"/>
      <c r="LCF85" s="268"/>
      <c r="LCG85" s="267"/>
      <c r="LCH85" s="268"/>
      <c r="LCI85" s="267"/>
      <c r="LCJ85" s="268"/>
      <c r="LCK85" s="267"/>
      <c r="LCL85" s="268"/>
      <c r="LCM85" s="267"/>
      <c r="LCN85" s="268"/>
      <c r="LCO85" s="267"/>
      <c r="LCP85" s="268"/>
      <c r="LCQ85" s="267"/>
      <c r="LCR85" s="268"/>
      <c r="LCS85" s="267"/>
      <c r="LCT85" s="268"/>
      <c r="LCU85" s="267"/>
      <c r="LCV85" s="268"/>
      <c r="LCW85" s="267"/>
      <c r="LCX85" s="268"/>
      <c r="LCY85" s="267"/>
      <c r="LCZ85" s="268"/>
      <c r="LDA85" s="267"/>
      <c r="LDB85" s="268"/>
      <c r="LDC85" s="267"/>
      <c r="LDD85" s="268"/>
      <c r="LDE85" s="267"/>
      <c r="LDF85" s="268"/>
      <c r="LDG85" s="267"/>
      <c r="LDH85" s="268"/>
      <c r="LDI85" s="267"/>
      <c r="LDJ85" s="268"/>
      <c r="LDK85" s="267"/>
      <c r="LDL85" s="268"/>
      <c r="LDM85" s="267"/>
      <c r="LDN85" s="268"/>
      <c r="LDO85" s="267"/>
      <c r="LDP85" s="268"/>
      <c r="LDQ85" s="267"/>
      <c r="LDR85" s="268"/>
      <c r="LDS85" s="267"/>
      <c r="LDT85" s="268"/>
      <c r="LDU85" s="267"/>
      <c r="LDV85" s="268"/>
      <c r="LDW85" s="267"/>
      <c r="LDX85" s="268"/>
      <c r="LDY85" s="267"/>
      <c r="LDZ85" s="268"/>
      <c r="LEA85" s="267"/>
      <c r="LEB85" s="268"/>
      <c r="LEC85" s="267"/>
      <c r="LED85" s="268"/>
      <c r="LEE85" s="267"/>
      <c r="LEF85" s="268"/>
      <c r="LEG85" s="267"/>
      <c r="LEH85" s="268"/>
      <c r="LEI85" s="267"/>
      <c r="LEJ85" s="268"/>
      <c r="LEK85" s="267"/>
      <c r="LEL85" s="268"/>
      <c r="LEM85" s="267"/>
      <c r="LEN85" s="268"/>
      <c r="LEO85" s="267"/>
      <c r="LEP85" s="268"/>
      <c r="LEQ85" s="267"/>
      <c r="LER85" s="268"/>
      <c r="LES85" s="267"/>
      <c r="LET85" s="268"/>
      <c r="LEU85" s="267"/>
      <c r="LEV85" s="268"/>
      <c r="LEW85" s="267"/>
      <c r="LEX85" s="268"/>
      <c r="LEY85" s="267"/>
      <c r="LEZ85" s="268"/>
      <c r="LFA85" s="267"/>
      <c r="LFB85" s="268"/>
      <c r="LFC85" s="267"/>
      <c r="LFD85" s="268"/>
      <c r="LFE85" s="267"/>
      <c r="LFF85" s="268"/>
      <c r="LFG85" s="267"/>
      <c r="LFH85" s="268"/>
      <c r="LFI85" s="267"/>
      <c r="LFJ85" s="268"/>
      <c r="LFK85" s="267"/>
      <c r="LFL85" s="268"/>
      <c r="LFM85" s="267"/>
      <c r="LFN85" s="268"/>
      <c r="LFO85" s="267"/>
      <c r="LFP85" s="268"/>
      <c r="LFQ85" s="267"/>
      <c r="LFR85" s="268"/>
      <c r="LFS85" s="267"/>
      <c r="LFT85" s="268"/>
      <c r="LFU85" s="267"/>
      <c r="LFV85" s="268"/>
      <c r="LFW85" s="267"/>
      <c r="LFX85" s="268"/>
      <c r="LFY85" s="267"/>
      <c r="LFZ85" s="268"/>
      <c r="LGA85" s="267"/>
      <c r="LGB85" s="268"/>
      <c r="LGC85" s="267"/>
      <c r="LGD85" s="268"/>
      <c r="LGE85" s="267"/>
      <c r="LGF85" s="268"/>
      <c r="LGG85" s="267"/>
      <c r="LGH85" s="268"/>
      <c r="LGI85" s="267"/>
      <c r="LGJ85" s="268"/>
      <c r="LGK85" s="267"/>
      <c r="LGL85" s="268"/>
      <c r="LGM85" s="267"/>
      <c r="LGN85" s="268"/>
      <c r="LGO85" s="267"/>
      <c r="LGP85" s="268"/>
      <c r="LGQ85" s="267"/>
      <c r="LGR85" s="268"/>
      <c r="LGS85" s="267"/>
      <c r="LGT85" s="268"/>
      <c r="LGU85" s="267"/>
      <c r="LGV85" s="268"/>
      <c r="LGW85" s="267"/>
      <c r="LGX85" s="268"/>
      <c r="LGY85" s="267"/>
      <c r="LGZ85" s="268"/>
      <c r="LHA85" s="267"/>
      <c r="LHB85" s="268"/>
      <c r="LHC85" s="267"/>
      <c r="LHD85" s="268"/>
      <c r="LHE85" s="267"/>
      <c r="LHF85" s="268"/>
      <c r="LHG85" s="267"/>
      <c r="LHH85" s="268"/>
      <c r="LHI85" s="267"/>
      <c r="LHJ85" s="268"/>
      <c r="LHK85" s="267"/>
      <c r="LHL85" s="268"/>
      <c r="LHM85" s="267"/>
      <c r="LHN85" s="268"/>
      <c r="LHO85" s="267"/>
      <c r="LHP85" s="268"/>
      <c r="LHQ85" s="267"/>
      <c r="LHR85" s="268"/>
      <c r="LHS85" s="267"/>
      <c r="LHT85" s="268"/>
      <c r="LHU85" s="267"/>
      <c r="LHV85" s="268"/>
      <c r="LHW85" s="267"/>
      <c r="LHX85" s="268"/>
      <c r="LHY85" s="267"/>
      <c r="LHZ85" s="268"/>
      <c r="LIA85" s="267"/>
      <c r="LIB85" s="268"/>
      <c r="LIC85" s="267"/>
      <c r="LID85" s="268"/>
      <c r="LIE85" s="267"/>
      <c r="LIF85" s="268"/>
      <c r="LIG85" s="267"/>
      <c r="LIH85" s="268"/>
      <c r="LII85" s="267"/>
      <c r="LIJ85" s="268"/>
      <c r="LIK85" s="267"/>
      <c r="LIL85" s="268"/>
      <c r="LIM85" s="267"/>
      <c r="LIN85" s="268"/>
      <c r="LIO85" s="267"/>
      <c r="LIP85" s="268"/>
      <c r="LIQ85" s="267"/>
      <c r="LIR85" s="268"/>
      <c r="LIS85" s="267"/>
      <c r="LIT85" s="268"/>
      <c r="LIU85" s="267"/>
      <c r="LIV85" s="268"/>
      <c r="LIW85" s="267"/>
      <c r="LIX85" s="268"/>
      <c r="LIY85" s="267"/>
      <c r="LIZ85" s="268"/>
      <c r="LJA85" s="267"/>
      <c r="LJB85" s="268"/>
      <c r="LJC85" s="267"/>
      <c r="LJD85" s="268"/>
      <c r="LJE85" s="267"/>
      <c r="LJF85" s="268"/>
      <c r="LJG85" s="267"/>
      <c r="LJH85" s="268"/>
      <c r="LJI85" s="267"/>
      <c r="LJJ85" s="268"/>
      <c r="LJK85" s="267"/>
      <c r="LJL85" s="268"/>
      <c r="LJM85" s="267"/>
      <c r="LJN85" s="268"/>
      <c r="LJO85" s="267"/>
      <c r="LJP85" s="268"/>
      <c r="LJQ85" s="267"/>
      <c r="LJR85" s="268"/>
      <c r="LJS85" s="267"/>
      <c r="LJT85" s="268"/>
      <c r="LJU85" s="267"/>
      <c r="LJV85" s="268"/>
      <c r="LJW85" s="267"/>
      <c r="LJX85" s="268"/>
      <c r="LJY85" s="267"/>
      <c r="LJZ85" s="268"/>
      <c r="LKA85" s="267"/>
      <c r="LKB85" s="268"/>
      <c r="LKC85" s="267"/>
      <c r="LKD85" s="268"/>
      <c r="LKE85" s="267"/>
      <c r="LKF85" s="268"/>
      <c r="LKG85" s="267"/>
      <c r="LKH85" s="268"/>
      <c r="LKI85" s="267"/>
      <c r="LKJ85" s="268"/>
      <c r="LKK85" s="267"/>
      <c r="LKL85" s="268"/>
      <c r="LKM85" s="267"/>
      <c r="LKN85" s="268"/>
      <c r="LKO85" s="267"/>
      <c r="LKP85" s="268"/>
      <c r="LKQ85" s="267"/>
      <c r="LKR85" s="268"/>
      <c r="LKS85" s="267"/>
      <c r="LKT85" s="268"/>
      <c r="LKU85" s="267"/>
      <c r="LKV85" s="268"/>
      <c r="LKW85" s="267"/>
      <c r="LKX85" s="268"/>
      <c r="LKY85" s="267"/>
      <c r="LKZ85" s="268"/>
      <c r="LLA85" s="267"/>
      <c r="LLB85" s="268"/>
      <c r="LLC85" s="267"/>
      <c r="LLD85" s="268"/>
      <c r="LLE85" s="267"/>
      <c r="LLF85" s="268"/>
      <c r="LLG85" s="267"/>
      <c r="LLH85" s="268"/>
      <c r="LLI85" s="267"/>
      <c r="LLJ85" s="268"/>
      <c r="LLK85" s="267"/>
      <c r="LLL85" s="268"/>
      <c r="LLM85" s="267"/>
      <c r="LLN85" s="268"/>
      <c r="LLO85" s="267"/>
      <c r="LLP85" s="268"/>
      <c r="LLQ85" s="267"/>
      <c r="LLR85" s="268"/>
      <c r="LLS85" s="267"/>
      <c r="LLT85" s="268"/>
      <c r="LLU85" s="267"/>
      <c r="LLV85" s="268"/>
      <c r="LLW85" s="267"/>
      <c r="LLX85" s="268"/>
      <c r="LLY85" s="267"/>
      <c r="LLZ85" s="268"/>
      <c r="LMA85" s="267"/>
      <c r="LMB85" s="268"/>
      <c r="LMC85" s="267"/>
      <c r="LMD85" s="268"/>
      <c r="LME85" s="267"/>
      <c r="LMF85" s="268"/>
      <c r="LMG85" s="267"/>
      <c r="LMH85" s="268"/>
      <c r="LMI85" s="267"/>
      <c r="LMJ85" s="268"/>
      <c r="LMK85" s="267"/>
      <c r="LML85" s="268"/>
      <c r="LMM85" s="267"/>
      <c r="LMN85" s="268"/>
      <c r="LMO85" s="267"/>
      <c r="LMP85" s="268"/>
      <c r="LMQ85" s="267"/>
      <c r="LMR85" s="268"/>
      <c r="LMS85" s="267"/>
      <c r="LMT85" s="268"/>
      <c r="LMU85" s="267"/>
      <c r="LMV85" s="268"/>
      <c r="LMW85" s="267"/>
      <c r="LMX85" s="268"/>
      <c r="LMY85" s="267"/>
      <c r="LMZ85" s="268"/>
      <c r="LNA85" s="267"/>
      <c r="LNB85" s="268"/>
      <c r="LNC85" s="267"/>
      <c r="LND85" s="268"/>
      <c r="LNE85" s="267"/>
      <c r="LNF85" s="268"/>
      <c r="LNG85" s="267"/>
      <c r="LNH85" s="268"/>
      <c r="LNI85" s="267"/>
      <c r="LNJ85" s="268"/>
      <c r="LNK85" s="267"/>
      <c r="LNL85" s="268"/>
      <c r="LNM85" s="267"/>
      <c r="LNN85" s="268"/>
      <c r="LNO85" s="267"/>
      <c r="LNP85" s="268"/>
      <c r="LNQ85" s="267"/>
      <c r="LNR85" s="268"/>
      <c r="LNS85" s="267"/>
      <c r="LNT85" s="268"/>
      <c r="LNU85" s="267"/>
      <c r="LNV85" s="268"/>
      <c r="LNW85" s="267"/>
      <c r="LNX85" s="268"/>
      <c r="LNY85" s="267"/>
      <c r="LNZ85" s="268"/>
      <c r="LOA85" s="267"/>
      <c r="LOB85" s="268"/>
      <c r="LOC85" s="267"/>
      <c r="LOD85" s="268"/>
      <c r="LOE85" s="267"/>
      <c r="LOF85" s="268"/>
      <c r="LOG85" s="267"/>
      <c r="LOH85" s="268"/>
      <c r="LOI85" s="267"/>
      <c r="LOJ85" s="268"/>
      <c r="LOK85" s="267"/>
      <c r="LOL85" s="268"/>
      <c r="LOM85" s="267"/>
      <c r="LON85" s="268"/>
      <c r="LOO85" s="267"/>
      <c r="LOP85" s="268"/>
      <c r="LOQ85" s="267"/>
      <c r="LOR85" s="268"/>
      <c r="LOS85" s="267"/>
      <c r="LOT85" s="268"/>
      <c r="LOU85" s="267"/>
      <c r="LOV85" s="268"/>
      <c r="LOW85" s="267"/>
      <c r="LOX85" s="268"/>
      <c r="LOY85" s="267"/>
      <c r="LOZ85" s="268"/>
      <c r="LPA85" s="267"/>
      <c r="LPB85" s="268"/>
      <c r="LPC85" s="267"/>
      <c r="LPD85" s="268"/>
      <c r="LPE85" s="267"/>
      <c r="LPF85" s="268"/>
      <c r="LPG85" s="267"/>
      <c r="LPH85" s="268"/>
      <c r="LPI85" s="267"/>
      <c r="LPJ85" s="268"/>
      <c r="LPK85" s="267"/>
      <c r="LPL85" s="268"/>
      <c r="LPM85" s="267"/>
      <c r="LPN85" s="268"/>
      <c r="LPO85" s="267"/>
      <c r="LPP85" s="268"/>
      <c r="LPQ85" s="267"/>
      <c r="LPR85" s="268"/>
      <c r="LPS85" s="267"/>
      <c r="LPT85" s="268"/>
      <c r="LPU85" s="267"/>
      <c r="LPV85" s="268"/>
      <c r="LPW85" s="267"/>
      <c r="LPX85" s="268"/>
      <c r="LPY85" s="267"/>
      <c r="LPZ85" s="268"/>
      <c r="LQA85" s="267"/>
      <c r="LQB85" s="268"/>
      <c r="LQC85" s="267"/>
      <c r="LQD85" s="268"/>
      <c r="LQE85" s="267"/>
      <c r="LQF85" s="268"/>
      <c r="LQG85" s="267"/>
      <c r="LQH85" s="268"/>
      <c r="LQI85" s="267"/>
      <c r="LQJ85" s="268"/>
      <c r="LQK85" s="267"/>
      <c r="LQL85" s="268"/>
      <c r="LQM85" s="267"/>
      <c r="LQN85" s="268"/>
      <c r="LQO85" s="267"/>
      <c r="LQP85" s="268"/>
      <c r="LQQ85" s="267"/>
      <c r="LQR85" s="268"/>
      <c r="LQS85" s="267"/>
      <c r="LQT85" s="268"/>
      <c r="LQU85" s="267"/>
      <c r="LQV85" s="268"/>
      <c r="LQW85" s="267"/>
      <c r="LQX85" s="268"/>
      <c r="LQY85" s="267"/>
      <c r="LQZ85" s="268"/>
      <c r="LRA85" s="267"/>
      <c r="LRB85" s="268"/>
      <c r="LRC85" s="267"/>
      <c r="LRD85" s="268"/>
      <c r="LRE85" s="267"/>
      <c r="LRF85" s="268"/>
      <c r="LRG85" s="267"/>
      <c r="LRH85" s="268"/>
      <c r="LRI85" s="267"/>
      <c r="LRJ85" s="268"/>
      <c r="LRK85" s="267"/>
      <c r="LRL85" s="268"/>
      <c r="LRM85" s="267"/>
      <c r="LRN85" s="268"/>
      <c r="LRO85" s="267"/>
      <c r="LRP85" s="268"/>
      <c r="LRQ85" s="267"/>
      <c r="LRR85" s="268"/>
      <c r="LRS85" s="267"/>
      <c r="LRT85" s="268"/>
      <c r="LRU85" s="267"/>
      <c r="LRV85" s="268"/>
      <c r="LRW85" s="267"/>
      <c r="LRX85" s="268"/>
      <c r="LRY85" s="267"/>
      <c r="LRZ85" s="268"/>
      <c r="LSA85" s="267"/>
      <c r="LSB85" s="268"/>
      <c r="LSC85" s="267"/>
      <c r="LSD85" s="268"/>
      <c r="LSE85" s="267"/>
      <c r="LSF85" s="268"/>
      <c r="LSG85" s="267"/>
      <c r="LSH85" s="268"/>
      <c r="LSI85" s="267"/>
      <c r="LSJ85" s="268"/>
      <c r="LSK85" s="267"/>
      <c r="LSL85" s="268"/>
      <c r="LSM85" s="267"/>
      <c r="LSN85" s="268"/>
      <c r="LSO85" s="267"/>
      <c r="LSP85" s="268"/>
      <c r="LSQ85" s="267"/>
      <c r="LSR85" s="268"/>
      <c r="LSS85" s="267"/>
      <c r="LST85" s="268"/>
      <c r="LSU85" s="267"/>
      <c r="LSV85" s="268"/>
      <c r="LSW85" s="267"/>
      <c r="LSX85" s="268"/>
      <c r="LSY85" s="267"/>
      <c r="LSZ85" s="268"/>
      <c r="LTA85" s="267"/>
      <c r="LTB85" s="268"/>
      <c r="LTC85" s="267"/>
      <c r="LTD85" s="268"/>
      <c r="LTE85" s="267"/>
      <c r="LTF85" s="268"/>
      <c r="LTG85" s="267"/>
      <c r="LTH85" s="268"/>
      <c r="LTI85" s="267"/>
      <c r="LTJ85" s="268"/>
      <c r="LTK85" s="267"/>
      <c r="LTL85" s="268"/>
      <c r="LTM85" s="267"/>
      <c r="LTN85" s="268"/>
      <c r="LTO85" s="267"/>
      <c r="LTP85" s="268"/>
      <c r="LTQ85" s="267"/>
      <c r="LTR85" s="268"/>
      <c r="LTS85" s="267"/>
      <c r="LTT85" s="268"/>
      <c r="LTU85" s="267"/>
      <c r="LTV85" s="268"/>
      <c r="LTW85" s="267"/>
      <c r="LTX85" s="268"/>
      <c r="LTY85" s="267"/>
      <c r="LTZ85" s="268"/>
      <c r="LUA85" s="267"/>
      <c r="LUB85" s="268"/>
      <c r="LUC85" s="267"/>
      <c r="LUD85" s="268"/>
      <c r="LUE85" s="267"/>
      <c r="LUF85" s="268"/>
      <c r="LUG85" s="267"/>
      <c r="LUH85" s="268"/>
      <c r="LUI85" s="267"/>
      <c r="LUJ85" s="268"/>
      <c r="LUK85" s="267"/>
      <c r="LUL85" s="268"/>
      <c r="LUM85" s="267"/>
      <c r="LUN85" s="268"/>
      <c r="LUO85" s="267"/>
      <c r="LUP85" s="268"/>
      <c r="LUQ85" s="267"/>
      <c r="LUR85" s="268"/>
      <c r="LUS85" s="267"/>
      <c r="LUT85" s="268"/>
      <c r="LUU85" s="267"/>
      <c r="LUV85" s="268"/>
      <c r="LUW85" s="267"/>
      <c r="LUX85" s="268"/>
      <c r="LUY85" s="267"/>
      <c r="LUZ85" s="268"/>
      <c r="LVA85" s="267"/>
      <c r="LVB85" s="268"/>
      <c r="LVC85" s="267"/>
      <c r="LVD85" s="268"/>
      <c r="LVE85" s="267"/>
      <c r="LVF85" s="268"/>
      <c r="LVG85" s="267"/>
      <c r="LVH85" s="268"/>
      <c r="LVI85" s="267"/>
      <c r="LVJ85" s="268"/>
      <c r="LVK85" s="267"/>
      <c r="LVL85" s="268"/>
      <c r="LVM85" s="267"/>
      <c r="LVN85" s="268"/>
      <c r="LVO85" s="267"/>
      <c r="LVP85" s="268"/>
      <c r="LVQ85" s="267"/>
      <c r="LVR85" s="268"/>
      <c r="LVS85" s="267"/>
      <c r="LVT85" s="268"/>
      <c r="LVU85" s="267"/>
      <c r="LVV85" s="268"/>
      <c r="LVW85" s="267"/>
      <c r="LVX85" s="268"/>
      <c r="LVY85" s="267"/>
      <c r="LVZ85" s="268"/>
      <c r="LWA85" s="267"/>
      <c r="LWB85" s="268"/>
      <c r="LWC85" s="267"/>
      <c r="LWD85" s="268"/>
      <c r="LWE85" s="267"/>
      <c r="LWF85" s="268"/>
      <c r="LWG85" s="267"/>
      <c r="LWH85" s="268"/>
      <c r="LWI85" s="267"/>
      <c r="LWJ85" s="268"/>
      <c r="LWK85" s="267"/>
      <c r="LWL85" s="268"/>
      <c r="LWM85" s="267"/>
      <c r="LWN85" s="268"/>
      <c r="LWO85" s="267"/>
      <c r="LWP85" s="268"/>
      <c r="LWQ85" s="267"/>
      <c r="LWR85" s="268"/>
      <c r="LWS85" s="267"/>
      <c r="LWT85" s="268"/>
      <c r="LWU85" s="267"/>
      <c r="LWV85" s="268"/>
      <c r="LWW85" s="267"/>
      <c r="LWX85" s="268"/>
      <c r="LWY85" s="267"/>
      <c r="LWZ85" s="268"/>
      <c r="LXA85" s="267"/>
      <c r="LXB85" s="268"/>
      <c r="LXC85" s="267"/>
      <c r="LXD85" s="268"/>
      <c r="LXE85" s="267"/>
      <c r="LXF85" s="268"/>
      <c r="LXG85" s="267"/>
      <c r="LXH85" s="268"/>
      <c r="LXI85" s="267"/>
      <c r="LXJ85" s="268"/>
      <c r="LXK85" s="267"/>
      <c r="LXL85" s="268"/>
      <c r="LXM85" s="267"/>
      <c r="LXN85" s="268"/>
      <c r="LXO85" s="267"/>
      <c r="LXP85" s="268"/>
      <c r="LXQ85" s="267"/>
      <c r="LXR85" s="268"/>
      <c r="LXS85" s="267"/>
      <c r="LXT85" s="268"/>
      <c r="LXU85" s="267"/>
      <c r="LXV85" s="268"/>
      <c r="LXW85" s="267"/>
      <c r="LXX85" s="268"/>
      <c r="LXY85" s="267"/>
      <c r="LXZ85" s="268"/>
      <c r="LYA85" s="267"/>
      <c r="LYB85" s="268"/>
      <c r="LYC85" s="267"/>
      <c r="LYD85" s="268"/>
      <c r="LYE85" s="267"/>
      <c r="LYF85" s="268"/>
      <c r="LYG85" s="267"/>
      <c r="LYH85" s="268"/>
      <c r="LYI85" s="267"/>
      <c r="LYJ85" s="268"/>
      <c r="LYK85" s="267"/>
      <c r="LYL85" s="268"/>
      <c r="LYM85" s="267"/>
      <c r="LYN85" s="268"/>
      <c r="LYO85" s="267"/>
      <c r="LYP85" s="268"/>
      <c r="LYQ85" s="267"/>
      <c r="LYR85" s="268"/>
      <c r="LYS85" s="267"/>
      <c r="LYT85" s="268"/>
      <c r="LYU85" s="267"/>
      <c r="LYV85" s="268"/>
      <c r="LYW85" s="267"/>
      <c r="LYX85" s="268"/>
      <c r="LYY85" s="267"/>
      <c r="LYZ85" s="268"/>
      <c r="LZA85" s="267"/>
      <c r="LZB85" s="268"/>
      <c r="LZC85" s="267"/>
      <c r="LZD85" s="268"/>
      <c r="LZE85" s="267"/>
      <c r="LZF85" s="268"/>
      <c r="LZG85" s="267"/>
      <c r="LZH85" s="268"/>
      <c r="LZI85" s="267"/>
      <c r="LZJ85" s="268"/>
      <c r="LZK85" s="267"/>
      <c r="LZL85" s="268"/>
      <c r="LZM85" s="267"/>
      <c r="LZN85" s="268"/>
      <c r="LZO85" s="267"/>
      <c r="LZP85" s="268"/>
      <c r="LZQ85" s="267"/>
      <c r="LZR85" s="268"/>
      <c r="LZS85" s="267"/>
      <c r="LZT85" s="268"/>
      <c r="LZU85" s="267"/>
      <c r="LZV85" s="268"/>
      <c r="LZW85" s="267"/>
      <c r="LZX85" s="268"/>
      <c r="LZY85" s="267"/>
      <c r="LZZ85" s="268"/>
      <c r="MAA85" s="267"/>
      <c r="MAB85" s="268"/>
      <c r="MAC85" s="267"/>
      <c r="MAD85" s="268"/>
      <c r="MAE85" s="267"/>
      <c r="MAF85" s="268"/>
      <c r="MAG85" s="267"/>
      <c r="MAH85" s="268"/>
      <c r="MAI85" s="267"/>
      <c r="MAJ85" s="268"/>
      <c r="MAK85" s="267"/>
      <c r="MAL85" s="268"/>
      <c r="MAM85" s="267"/>
      <c r="MAN85" s="268"/>
      <c r="MAO85" s="267"/>
      <c r="MAP85" s="268"/>
      <c r="MAQ85" s="267"/>
      <c r="MAR85" s="268"/>
      <c r="MAS85" s="267"/>
      <c r="MAT85" s="268"/>
      <c r="MAU85" s="267"/>
      <c r="MAV85" s="268"/>
      <c r="MAW85" s="267"/>
      <c r="MAX85" s="268"/>
      <c r="MAY85" s="267"/>
      <c r="MAZ85" s="268"/>
      <c r="MBA85" s="267"/>
      <c r="MBB85" s="268"/>
      <c r="MBC85" s="267"/>
      <c r="MBD85" s="268"/>
      <c r="MBE85" s="267"/>
      <c r="MBF85" s="268"/>
      <c r="MBG85" s="267"/>
      <c r="MBH85" s="268"/>
      <c r="MBI85" s="267"/>
      <c r="MBJ85" s="268"/>
      <c r="MBK85" s="267"/>
      <c r="MBL85" s="268"/>
      <c r="MBM85" s="267"/>
      <c r="MBN85" s="268"/>
      <c r="MBO85" s="267"/>
      <c r="MBP85" s="268"/>
      <c r="MBQ85" s="267"/>
      <c r="MBR85" s="268"/>
      <c r="MBS85" s="267"/>
      <c r="MBT85" s="268"/>
      <c r="MBU85" s="267"/>
      <c r="MBV85" s="268"/>
      <c r="MBW85" s="267"/>
      <c r="MBX85" s="268"/>
      <c r="MBY85" s="267"/>
      <c r="MBZ85" s="268"/>
      <c r="MCA85" s="267"/>
      <c r="MCB85" s="268"/>
      <c r="MCC85" s="267"/>
      <c r="MCD85" s="268"/>
      <c r="MCE85" s="267"/>
      <c r="MCF85" s="268"/>
      <c r="MCG85" s="267"/>
      <c r="MCH85" s="268"/>
      <c r="MCI85" s="267"/>
      <c r="MCJ85" s="268"/>
      <c r="MCK85" s="267"/>
      <c r="MCL85" s="268"/>
      <c r="MCM85" s="267"/>
      <c r="MCN85" s="268"/>
      <c r="MCO85" s="267"/>
      <c r="MCP85" s="268"/>
      <c r="MCQ85" s="267"/>
      <c r="MCR85" s="268"/>
      <c r="MCS85" s="267"/>
      <c r="MCT85" s="268"/>
      <c r="MCU85" s="267"/>
      <c r="MCV85" s="268"/>
      <c r="MCW85" s="267"/>
      <c r="MCX85" s="268"/>
      <c r="MCY85" s="267"/>
      <c r="MCZ85" s="268"/>
      <c r="MDA85" s="267"/>
      <c r="MDB85" s="268"/>
      <c r="MDC85" s="267"/>
      <c r="MDD85" s="268"/>
      <c r="MDE85" s="267"/>
      <c r="MDF85" s="268"/>
      <c r="MDG85" s="267"/>
      <c r="MDH85" s="268"/>
      <c r="MDI85" s="267"/>
      <c r="MDJ85" s="268"/>
      <c r="MDK85" s="267"/>
      <c r="MDL85" s="268"/>
      <c r="MDM85" s="267"/>
      <c r="MDN85" s="268"/>
      <c r="MDO85" s="267"/>
      <c r="MDP85" s="268"/>
      <c r="MDQ85" s="267"/>
      <c r="MDR85" s="268"/>
      <c r="MDS85" s="267"/>
      <c r="MDT85" s="268"/>
      <c r="MDU85" s="267"/>
      <c r="MDV85" s="268"/>
      <c r="MDW85" s="267"/>
      <c r="MDX85" s="268"/>
      <c r="MDY85" s="267"/>
      <c r="MDZ85" s="268"/>
      <c r="MEA85" s="267"/>
      <c r="MEB85" s="268"/>
      <c r="MEC85" s="267"/>
      <c r="MED85" s="268"/>
      <c r="MEE85" s="267"/>
      <c r="MEF85" s="268"/>
      <c r="MEG85" s="267"/>
      <c r="MEH85" s="268"/>
      <c r="MEI85" s="267"/>
      <c r="MEJ85" s="268"/>
      <c r="MEK85" s="267"/>
      <c r="MEL85" s="268"/>
      <c r="MEM85" s="267"/>
      <c r="MEN85" s="268"/>
      <c r="MEO85" s="267"/>
      <c r="MEP85" s="268"/>
      <c r="MEQ85" s="267"/>
      <c r="MER85" s="268"/>
      <c r="MES85" s="267"/>
      <c r="MET85" s="268"/>
      <c r="MEU85" s="267"/>
      <c r="MEV85" s="268"/>
      <c r="MEW85" s="267"/>
      <c r="MEX85" s="268"/>
      <c r="MEY85" s="267"/>
      <c r="MEZ85" s="268"/>
      <c r="MFA85" s="267"/>
      <c r="MFB85" s="268"/>
      <c r="MFC85" s="267"/>
      <c r="MFD85" s="268"/>
      <c r="MFE85" s="267"/>
      <c r="MFF85" s="268"/>
      <c r="MFG85" s="267"/>
      <c r="MFH85" s="268"/>
      <c r="MFI85" s="267"/>
      <c r="MFJ85" s="268"/>
      <c r="MFK85" s="267"/>
      <c r="MFL85" s="268"/>
      <c r="MFM85" s="267"/>
      <c r="MFN85" s="268"/>
      <c r="MFO85" s="267"/>
      <c r="MFP85" s="268"/>
      <c r="MFQ85" s="267"/>
      <c r="MFR85" s="268"/>
      <c r="MFS85" s="267"/>
      <c r="MFT85" s="268"/>
      <c r="MFU85" s="267"/>
      <c r="MFV85" s="268"/>
      <c r="MFW85" s="267"/>
      <c r="MFX85" s="268"/>
      <c r="MFY85" s="267"/>
      <c r="MFZ85" s="268"/>
      <c r="MGA85" s="267"/>
      <c r="MGB85" s="268"/>
      <c r="MGC85" s="267"/>
      <c r="MGD85" s="268"/>
      <c r="MGE85" s="267"/>
      <c r="MGF85" s="268"/>
      <c r="MGG85" s="267"/>
      <c r="MGH85" s="268"/>
      <c r="MGI85" s="267"/>
      <c r="MGJ85" s="268"/>
      <c r="MGK85" s="267"/>
      <c r="MGL85" s="268"/>
      <c r="MGM85" s="267"/>
      <c r="MGN85" s="268"/>
      <c r="MGO85" s="267"/>
      <c r="MGP85" s="268"/>
      <c r="MGQ85" s="267"/>
      <c r="MGR85" s="268"/>
      <c r="MGS85" s="267"/>
      <c r="MGT85" s="268"/>
      <c r="MGU85" s="267"/>
      <c r="MGV85" s="268"/>
      <c r="MGW85" s="267"/>
      <c r="MGX85" s="268"/>
      <c r="MGY85" s="267"/>
      <c r="MGZ85" s="268"/>
      <c r="MHA85" s="267"/>
      <c r="MHB85" s="268"/>
      <c r="MHC85" s="267"/>
      <c r="MHD85" s="268"/>
      <c r="MHE85" s="267"/>
      <c r="MHF85" s="268"/>
      <c r="MHG85" s="267"/>
      <c r="MHH85" s="268"/>
      <c r="MHI85" s="267"/>
      <c r="MHJ85" s="268"/>
      <c r="MHK85" s="267"/>
      <c r="MHL85" s="268"/>
      <c r="MHM85" s="267"/>
      <c r="MHN85" s="268"/>
      <c r="MHO85" s="267"/>
      <c r="MHP85" s="268"/>
      <c r="MHQ85" s="267"/>
      <c r="MHR85" s="268"/>
      <c r="MHS85" s="267"/>
      <c r="MHT85" s="268"/>
      <c r="MHU85" s="267"/>
      <c r="MHV85" s="268"/>
      <c r="MHW85" s="267"/>
      <c r="MHX85" s="268"/>
      <c r="MHY85" s="267"/>
      <c r="MHZ85" s="268"/>
      <c r="MIA85" s="267"/>
      <c r="MIB85" s="268"/>
      <c r="MIC85" s="267"/>
      <c r="MID85" s="268"/>
      <c r="MIE85" s="267"/>
      <c r="MIF85" s="268"/>
      <c r="MIG85" s="267"/>
      <c r="MIH85" s="268"/>
      <c r="MII85" s="267"/>
      <c r="MIJ85" s="268"/>
      <c r="MIK85" s="267"/>
      <c r="MIL85" s="268"/>
      <c r="MIM85" s="267"/>
      <c r="MIN85" s="268"/>
      <c r="MIO85" s="267"/>
      <c r="MIP85" s="268"/>
      <c r="MIQ85" s="267"/>
      <c r="MIR85" s="268"/>
      <c r="MIS85" s="267"/>
      <c r="MIT85" s="268"/>
      <c r="MIU85" s="267"/>
      <c r="MIV85" s="268"/>
      <c r="MIW85" s="267"/>
      <c r="MIX85" s="268"/>
      <c r="MIY85" s="267"/>
      <c r="MIZ85" s="268"/>
      <c r="MJA85" s="267"/>
      <c r="MJB85" s="268"/>
      <c r="MJC85" s="267"/>
      <c r="MJD85" s="268"/>
      <c r="MJE85" s="267"/>
      <c r="MJF85" s="268"/>
      <c r="MJG85" s="267"/>
      <c r="MJH85" s="268"/>
      <c r="MJI85" s="267"/>
      <c r="MJJ85" s="268"/>
      <c r="MJK85" s="267"/>
      <c r="MJL85" s="268"/>
      <c r="MJM85" s="267"/>
      <c r="MJN85" s="268"/>
      <c r="MJO85" s="267"/>
      <c r="MJP85" s="268"/>
      <c r="MJQ85" s="267"/>
      <c r="MJR85" s="268"/>
      <c r="MJS85" s="267"/>
      <c r="MJT85" s="268"/>
      <c r="MJU85" s="267"/>
      <c r="MJV85" s="268"/>
      <c r="MJW85" s="267"/>
      <c r="MJX85" s="268"/>
      <c r="MJY85" s="267"/>
      <c r="MJZ85" s="268"/>
      <c r="MKA85" s="267"/>
      <c r="MKB85" s="268"/>
      <c r="MKC85" s="267"/>
      <c r="MKD85" s="268"/>
      <c r="MKE85" s="267"/>
      <c r="MKF85" s="268"/>
      <c r="MKG85" s="267"/>
      <c r="MKH85" s="268"/>
      <c r="MKI85" s="267"/>
      <c r="MKJ85" s="268"/>
      <c r="MKK85" s="267"/>
      <c r="MKL85" s="268"/>
      <c r="MKM85" s="267"/>
      <c r="MKN85" s="268"/>
      <c r="MKO85" s="267"/>
      <c r="MKP85" s="268"/>
      <c r="MKQ85" s="267"/>
      <c r="MKR85" s="268"/>
      <c r="MKS85" s="267"/>
      <c r="MKT85" s="268"/>
      <c r="MKU85" s="267"/>
      <c r="MKV85" s="268"/>
      <c r="MKW85" s="267"/>
      <c r="MKX85" s="268"/>
      <c r="MKY85" s="267"/>
      <c r="MKZ85" s="268"/>
      <c r="MLA85" s="267"/>
      <c r="MLB85" s="268"/>
      <c r="MLC85" s="267"/>
      <c r="MLD85" s="268"/>
      <c r="MLE85" s="267"/>
      <c r="MLF85" s="268"/>
      <c r="MLG85" s="267"/>
      <c r="MLH85" s="268"/>
      <c r="MLI85" s="267"/>
      <c r="MLJ85" s="268"/>
      <c r="MLK85" s="267"/>
      <c r="MLL85" s="268"/>
      <c r="MLM85" s="267"/>
      <c r="MLN85" s="268"/>
      <c r="MLO85" s="267"/>
      <c r="MLP85" s="268"/>
      <c r="MLQ85" s="267"/>
      <c r="MLR85" s="268"/>
      <c r="MLS85" s="267"/>
      <c r="MLT85" s="268"/>
      <c r="MLU85" s="267"/>
      <c r="MLV85" s="268"/>
      <c r="MLW85" s="267"/>
      <c r="MLX85" s="268"/>
      <c r="MLY85" s="267"/>
      <c r="MLZ85" s="268"/>
      <c r="MMA85" s="267"/>
      <c r="MMB85" s="268"/>
      <c r="MMC85" s="267"/>
      <c r="MMD85" s="268"/>
      <c r="MME85" s="267"/>
      <c r="MMF85" s="268"/>
      <c r="MMG85" s="267"/>
      <c r="MMH85" s="268"/>
      <c r="MMI85" s="267"/>
      <c r="MMJ85" s="268"/>
      <c r="MMK85" s="267"/>
      <c r="MML85" s="268"/>
      <c r="MMM85" s="267"/>
      <c r="MMN85" s="268"/>
      <c r="MMO85" s="267"/>
      <c r="MMP85" s="268"/>
      <c r="MMQ85" s="267"/>
      <c r="MMR85" s="268"/>
      <c r="MMS85" s="267"/>
      <c r="MMT85" s="268"/>
      <c r="MMU85" s="267"/>
      <c r="MMV85" s="268"/>
      <c r="MMW85" s="267"/>
      <c r="MMX85" s="268"/>
      <c r="MMY85" s="267"/>
      <c r="MMZ85" s="268"/>
      <c r="MNA85" s="267"/>
      <c r="MNB85" s="268"/>
      <c r="MNC85" s="267"/>
      <c r="MND85" s="268"/>
      <c r="MNE85" s="267"/>
      <c r="MNF85" s="268"/>
      <c r="MNG85" s="267"/>
      <c r="MNH85" s="268"/>
      <c r="MNI85" s="267"/>
      <c r="MNJ85" s="268"/>
      <c r="MNK85" s="267"/>
      <c r="MNL85" s="268"/>
      <c r="MNM85" s="267"/>
      <c r="MNN85" s="268"/>
      <c r="MNO85" s="267"/>
      <c r="MNP85" s="268"/>
      <c r="MNQ85" s="267"/>
      <c r="MNR85" s="268"/>
      <c r="MNS85" s="267"/>
      <c r="MNT85" s="268"/>
      <c r="MNU85" s="267"/>
      <c r="MNV85" s="268"/>
      <c r="MNW85" s="267"/>
      <c r="MNX85" s="268"/>
      <c r="MNY85" s="267"/>
      <c r="MNZ85" s="268"/>
      <c r="MOA85" s="267"/>
      <c r="MOB85" s="268"/>
      <c r="MOC85" s="267"/>
      <c r="MOD85" s="268"/>
      <c r="MOE85" s="267"/>
      <c r="MOF85" s="268"/>
      <c r="MOG85" s="267"/>
      <c r="MOH85" s="268"/>
      <c r="MOI85" s="267"/>
      <c r="MOJ85" s="268"/>
      <c r="MOK85" s="267"/>
      <c r="MOL85" s="268"/>
      <c r="MOM85" s="267"/>
      <c r="MON85" s="268"/>
      <c r="MOO85" s="267"/>
      <c r="MOP85" s="268"/>
      <c r="MOQ85" s="267"/>
      <c r="MOR85" s="268"/>
      <c r="MOS85" s="267"/>
      <c r="MOT85" s="268"/>
      <c r="MOU85" s="267"/>
      <c r="MOV85" s="268"/>
      <c r="MOW85" s="267"/>
      <c r="MOX85" s="268"/>
      <c r="MOY85" s="267"/>
      <c r="MOZ85" s="268"/>
      <c r="MPA85" s="267"/>
      <c r="MPB85" s="268"/>
      <c r="MPC85" s="267"/>
      <c r="MPD85" s="268"/>
      <c r="MPE85" s="267"/>
      <c r="MPF85" s="268"/>
      <c r="MPG85" s="267"/>
      <c r="MPH85" s="268"/>
      <c r="MPI85" s="267"/>
      <c r="MPJ85" s="268"/>
      <c r="MPK85" s="267"/>
      <c r="MPL85" s="268"/>
      <c r="MPM85" s="267"/>
      <c r="MPN85" s="268"/>
      <c r="MPO85" s="267"/>
      <c r="MPP85" s="268"/>
      <c r="MPQ85" s="267"/>
      <c r="MPR85" s="268"/>
      <c r="MPS85" s="267"/>
      <c r="MPT85" s="268"/>
      <c r="MPU85" s="267"/>
      <c r="MPV85" s="268"/>
      <c r="MPW85" s="267"/>
      <c r="MPX85" s="268"/>
      <c r="MPY85" s="267"/>
      <c r="MPZ85" s="268"/>
      <c r="MQA85" s="267"/>
      <c r="MQB85" s="268"/>
      <c r="MQC85" s="267"/>
      <c r="MQD85" s="268"/>
      <c r="MQE85" s="267"/>
      <c r="MQF85" s="268"/>
      <c r="MQG85" s="267"/>
      <c r="MQH85" s="268"/>
      <c r="MQI85" s="267"/>
      <c r="MQJ85" s="268"/>
      <c r="MQK85" s="267"/>
      <c r="MQL85" s="268"/>
      <c r="MQM85" s="267"/>
      <c r="MQN85" s="268"/>
      <c r="MQO85" s="267"/>
      <c r="MQP85" s="268"/>
      <c r="MQQ85" s="267"/>
      <c r="MQR85" s="268"/>
      <c r="MQS85" s="267"/>
      <c r="MQT85" s="268"/>
      <c r="MQU85" s="267"/>
      <c r="MQV85" s="268"/>
      <c r="MQW85" s="267"/>
      <c r="MQX85" s="268"/>
      <c r="MQY85" s="267"/>
      <c r="MQZ85" s="268"/>
      <c r="MRA85" s="267"/>
      <c r="MRB85" s="268"/>
      <c r="MRC85" s="267"/>
      <c r="MRD85" s="268"/>
      <c r="MRE85" s="267"/>
      <c r="MRF85" s="268"/>
      <c r="MRG85" s="267"/>
      <c r="MRH85" s="268"/>
      <c r="MRI85" s="267"/>
      <c r="MRJ85" s="268"/>
      <c r="MRK85" s="267"/>
      <c r="MRL85" s="268"/>
      <c r="MRM85" s="267"/>
      <c r="MRN85" s="268"/>
      <c r="MRO85" s="267"/>
      <c r="MRP85" s="268"/>
      <c r="MRQ85" s="267"/>
      <c r="MRR85" s="268"/>
      <c r="MRS85" s="267"/>
      <c r="MRT85" s="268"/>
      <c r="MRU85" s="267"/>
      <c r="MRV85" s="268"/>
      <c r="MRW85" s="267"/>
      <c r="MRX85" s="268"/>
      <c r="MRY85" s="267"/>
      <c r="MRZ85" s="268"/>
      <c r="MSA85" s="267"/>
      <c r="MSB85" s="268"/>
      <c r="MSC85" s="267"/>
      <c r="MSD85" s="268"/>
      <c r="MSE85" s="267"/>
      <c r="MSF85" s="268"/>
      <c r="MSG85" s="267"/>
      <c r="MSH85" s="268"/>
      <c r="MSI85" s="267"/>
      <c r="MSJ85" s="268"/>
      <c r="MSK85" s="267"/>
      <c r="MSL85" s="268"/>
      <c r="MSM85" s="267"/>
      <c r="MSN85" s="268"/>
      <c r="MSO85" s="267"/>
      <c r="MSP85" s="268"/>
      <c r="MSQ85" s="267"/>
      <c r="MSR85" s="268"/>
      <c r="MSS85" s="267"/>
      <c r="MST85" s="268"/>
      <c r="MSU85" s="267"/>
      <c r="MSV85" s="268"/>
      <c r="MSW85" s="267"/>
      <c r="MSX85" s="268"/>
      <c r="MSY85" s="267"/>
      <c r="MSZ85" s="268"/>
      <c r="MTA85" s="267"/>
      <c r="MTB85" s="268"/>
      <c r="MTC85" s="267"/>
      <c r="MTD85" s="268"/>
      <c r="MTE85" s="267"/>
      <c r="MTF85" s="268"/>
      <c r="MTG85" s="267"/>
      <c r="MTH85" s="268"/>
      <c r="MTI85" s="267"/>
      <c r="MTJ85" s="268"/>
      <c r="MTK85" s="267"/>
      <c r="MTL85" s="268"/>
      <c r="MTM85" s="267"/>
      <c r="MTN85" s="268"/>
      <c r="MTO85" s="267"/>
      <c r="MTP85" s="268"/>
      <c r="MTQ85" s="267"/>
      <c r="MTR85" s="268"/>
      <c r="MTS85" s="267"/>
      <c r="MTT85" s="268"/>
      <c r="MTU85" s="267"/>
      <c r="MTV85" s="268"/>
      <c r="MTW85" s="267"/>
      <c r="MTX85" s="268"/>
      <c r="MTY85" s="267"/>
      <c r="MTZ85" s="268"/>
      <c r="MUA85" s="267"/>
      <c r="MUB85" s="268"/>
      <c r="MUC85" s="267"/>
      <c r="MUD85" s="268"/>
      <c r="MUE85" s="267"/>
      <c r="MUF85" s="268"/>
      <c r="MUG85" s="267"/>
      <c r="MUH85" s="268"/>
      <c r="MUI85" s="267"/>
      <c r="MUJ85" s="268"/>
      <c r="MUK85" s="267"/>
      <c r="MUL85" s="268"/>
      <c r="MUM85" s="267"/>
      <c r="MUN85" s="268"/>
      <c r="MUO85" s="267"/>
      <c r="MUP85" s="268"/>
      <c r="MUQ85" s="267"/>
      <c r="MUR85" s="268"/>
      <c r="MUS85" s="267"/>
      <c r="MUT85" s="268"/>
      <c r="MUU85" s="267"/>
      <c r="MUV85" s="268"/>
      <c r="MUW85" s="267"/>
      <c r="MUX85" s="268"/>
      <c r="MUY85" s="267"/>
      <c r="MUZ85" s="268"/>
      <c r="MVA85" s="267"/>
      <c r="MVB85" s="268"/>
      <c r="MVC85" s="267"/>
      <c r="MVD85" s="268"/>
      <c r="MVE85" s="267"/>
      <c r="MVF85" s="268"/>
      <c r="MVG85" s="267"/>
      <c r="MVH85" s="268"/>
      <c r="MVI85" s="267"/>
      <c r="MVJ85" s="268"/>
      <c r="MVK85" s="267"/>
      <c r="MVL85" s="268"/>
      <c r="MVM85" s="267"/>
      <c r="MVN85" s="268"/>
      <c r="MVO85" s="267"/>
      <c r="MVP85" s="268"/>
      <c r="MVQ85" s="267"/>
      <c r="MVR85" s="268"/>
      <c r="MVS85" s="267"/>
      <c r="MVT85" s="268"/>
      <c r="MVU85" s="267"/>
      <c r="MVV85" s="268"/>
      <c r="MVW85" s="267"/>
      <c r="MVX85" s="268"/>
      <c r="MVY85" s="267"/>
      <c r="MVZ85" s="268"/>
      <c r="MWA85" s="267"/>
      <c r="MWB85" s="268"/>
      <c r="MWC85" s="267"/>
      <c r="MWD85" s="268"/>
      <c r="MWE85" s="267"/>
      <c r="MWF85" s="268"/>
      <c r="MWG85" s="267"/>
      <c r="MWH85" s="268"/>
      <c r="MWI85" s="267"/>
      <c r="MWJ85" s="268"/>
      <c r="MWK85" s="267"/>
      <c r="MWL85" s="268"/>
      <c r="MWM85" s="267"/>
      <c r="MWN85" s="268"/>
      <c r="MWO85" s="267"/>
      <c r="MWP85" s="268"/>
      <c r="MWQ85" s="267"/>
      <c r="MWR85" s="268"/>
      <c r="MWS85" s="267"/>
      <c r="MWT85" s="268"/>
      <c r="MWU85" s="267"/>
      <c r="MWV85" s="268"/>
      <c r="MWW85" s="267"/>
      <c r="MWX85" s="268"/>
      <c r="MWY85" s="267"/>
      <c r="MWZ85" s="268"/>
      <c r="MXA85" s="267"/>
      <c r="MXB85" s="268"/>
      <c r="MXC85" s="267"/>
      <c r="MXD85" s="268"/>
      <c r="MXE85" s="267"/>
      <c r="MXF85" s="268"/>
      <c r="MXG85" s="267"/>
      <c r="MXH85" s="268"/>
      <c r="MXI85" s="267"/>
      <c r="MXJ85" s="268"/>
      <c r="MXK85" s="267"/>
      <c r="MXL85" s="268"/>
      <c r="MXM85" s="267"/>
      <c r="MXN85" s="268"/>
      <c r="MXO85" s="267"/>
      <c r="MXP85" s="268"/>
      <c r="MXQ85" s="267"/>
      <c r="MXR85" s="268"/>
      <c r="MXS85" s="267"/>
      <c r="MXT85" s="268"/>
      <c r="MXU85" s="267"/>
      <c r="MXV85" s="268"/>
      <c r="MXW85" s="267"/>
      <c r="MXX85" s="268"/>
      <c r="MXY85" s="267"/>
      <c r="MXZ85" s="268"/>
      <c r="MYA85" s="267"/>
      <c r="MYB85" s="268"/>
      <c r="MYC85" s="267"/>
      <c r="MYD85" s="268"/>
      <c r="MYE85" s="267"/>
      <c r="MYF85" s="268"/>
      <c r="MYG85" s="267"/>
      <c r="MYH85" s="268"/>
      <c r="MYI85" s="267"/>
      <c r="MYJ85" s="268"/>
      <c r="MYK85" s="267"/>
      <c r="MYL85" s="268"/>
      <c r="MYM85" s="267"/>
      <c r="MYN85" s="268"/>
      <c r="MYO85" s="267"/>
      <c r="MYP85" s="268"/>
      <c r="MYQ85" s="267"/>
      <c r="MYR85" s="268"/>
      <c r="MYS85" s="267"/>
      <c r="MYT85" s="268"/>
      <c r="MYU85" s="267"/>
      <c r="MYV85" s="268"/>
      <c r="MYW85" s="267"/>
      <c r="MYX85" s="268"/>
      <c r="MYY85" s="267"/>
      <c r="MYZ85" s="268"/>
      <c r="MZA85" s="267"/>
      <c r="MZB85" s="268"/>
      <c r="MZC85" s="267"/>
      <c r="MZD85" s="268"/>
      <c r="MZE85" s="267"/>
      <c r="MZF85" s="268"/>
      <c r="MZG85" s="267"/>
      <c r="MZH85" s="268"/>
      <c r="MZI85" s="267"/>
      <c r="MZJ85" s="268"/>
      <c r="MZK85" s="267"/>
      <c r="MZL85" s="268"/>
      <c r="MZM85" s="267"/>
      <c r="MZN85" s="268"/>
      <c r="MZO85" s="267"/>
      <c r="MZP85" s="268"/>
      <c r="MZQ85" s="267"/>
      <c r="MZR85" s="268"/>
      <c r="MZS85" s="267"/>
      <c r="MZT85" s="268"/>
      <c r="MZU85" s="267"/>
      <c r="MZV85" s="268"/>
      <c r="MZW85" s="267"/>
      <c r="MZX85" s="268"/>
      <c r="MZY85" s="267"/>
      <c r="MZZ85" s="268"/>
      <c r="NAA85" s="267"/>
      <c r="NAB85" s="268"/>
      <c r="NAC85" s="267"/>
      <c r="NAD85" s="268"/>
      <c r="NAE85" s="267"/>
      <c r="NAF85" s="268"/>
      <c r="NAG85" s="267"/>
      <c r="NAH85" s="268"/>
      <c r="NAI85" s="267"/>
      <c r="NAJ85" s="268"/>
      <c r="NAK85" s="267"/>
      <c r="NAL85" s="268"/>
      <c r="NAM85" s="267"/>
      <c r="NAN85" s="268"/>
      <c r="NAO85" s="267"/>
      <c r="NAP85" s="268"/>
      <c r="NAQ85" s="267"/>
      <c r="NAR85" s="268"/>
      <c r="NAS85" s="267"/>
      <c r="NAT85" s="268"/>
      <c r="NAU85" s="267"/>
      <c r="NAV85" s="268"/>
      <c r="NAW85" s="267"/>
      <c r="NAX85" s="268"/>
      <c r="NAY85" s="267"/>
      <c r="NAZ85" s="268"/>
      <c r="NBA85" s="267"/>
      <c r="NBB85" s="268"/>
      <c r="NBC85" s="267"/>
      <c r="NBD85" s="268"/>
      <c r="NBE85" s="267"/>
      <c r="NBF85" s="268"/>
      <c r="NBG85" s="267"/>
      <c r="NBH85" s="268"/>
      <c r="NBI85" s="267"/>
      <c r="NBJ85" s="268"/>
      <c r="NBK85" s="267"/>
      <c r="NBL85" s="268"/>
      <c r="NBM85" s="267"/>
      <c r="NBN85" s="268"/>
      <c r="NBO85" s="267"/>
      <c r="NBP85" s="268"/>
      <c r="NBQ85" s="267"/>
      <c r="NBR85" s="268"/>
      <c r="NBS85" s="267"/>
      <c r="NBT85" s="268"/>
      <c r="NBU85" s="267"/>
      <c r="NBV85" s="268"/>
      <c r="NBW85" s="267"/>
      <c r="NBX85" s="268"/>
      <c r="NBY85" s="267"/>
      <c r="NBZ85" s="268"/>
      <c r="NCA85" s="267"/>
      <c r="NCB85" s="268"/>
      <c r="NCC85" s="267"/>
      <c r="NCD85" s="268"/>
      <c r="NCE85" s="267"/>
      <c r="NCF85" s="268"/>
      <c r="NCG85" s="267"/>
      <c r="NCH85" s="268"/>
      <c r="NCI85" s="267"/>
      <c r="NCJ85" s="268"/>
      <c r="NCK85" s="267"/>
      <c r="NCL85" s="268"/>
      <c r="NCM85" s="267"/>
      <c r="NCN85" s="268"/>
      <c r="NCO85" s="267"/>
      <c r="NCP85" s="268"/>
      <c r="NCQ85" s="267"/>
      <c r="NCR85" s="268"/>
      <c r="NCS85" s="267"/>
      <c r="NCT85" s="268"/>
      <c r="NCU85" s="267"/>
      <c r="NCV85" s="268"/>
      <c r="NCW85" s="267"/>
      <c r="NCX85" s="268"/>
      <c r="NCY85" s="267"/>
      <c r="NCZ85" s="268"/>
      <c r="NDA85" s="267"/>
      <c r="NDB85" s="268"/>
      <c r="NDC85" s="267"/>
      <c r="NDD85" s="268"/>
      <c r="NDE85" s="267"/>
      <c r="NDF85" s="268"/>
      <c r="NDG85" s="267"/>
      <c r="NDH85" s="268"/>
      <c r="NDI85" s="267"/>
      <c r="NDJ85" s="268"/>
      <c r="NDK85" s="267"/>
      <c r="NDL85" s="268"/>
      <c r="NDM85" s="267"/>
      <c r="NDN85" s="268"/>
      <c r="NDO85" s="267"/>
      <c r="NDP85" s="268"/>
      <c r="NDQ85" s="267"/>
      <c r="NDR85" s="268"/>
      <c r="NDS85" s="267"/>
      <c r="NDT85" s="268"/>
      <c r="NDU85" s="267"/>
      <c r="NDV85" s="268"/>
      <c r="NDW85" s="267"/>
      <c r="NDX85" s="268"/>
      <c r="NDY85" s="267"/>
      <c r="NDZ85" s="268"/>
      <c r="NEA85" s="267"/>
      <c r="NEB85" s="268"/>
      <c r="NEC85" s="267"/>
      <c r="NED85" s="268"/>
      <c r="NEE85" s="267"/>
      <c r="NEF85" s="268"/>
      <c r="NEG85" s="267"/>
      <c r="NEH85" s="268"/>
      <c r="NEI85" s="267"/>
      <c r="NEJ85" s="268"/>
      <c r="NEK85" s="267"/>
      <c r="NEL85" s="268"/>
      <c r="NEM85" s="267"/>
      <c r="NEN85" s="268"/>
      <c r="NEO85" s="267"/>
      <c r="NEP85" s="268"/>
      <c r="NEQ85" s="267"/>
      <c r="NER85" s="268"/>
      <c r="NES85" s="267"/>
      <c r="NET85" s="268"/>
      <c r="NEU85" s="267"/>
      <c r="NEV85" s="268"/>
      <c r="NEW85" s="267"/>
      <c r="NEX85" s="268"/>
      <c r="NEY85" s="267"/>
      <c r="NEZ85" s="268"/>
      <c r="NFA85" s="267"/>
      <c r="NFB85" s="268"/>
      <c r="NFC85" s="267"/>
      <c r="NFD85" s="268"/>
      <c r="NFE85" s="267"/>
      <c r="NFF85" s="268"/>
      <c r="NFG85" s="267"/>
      <c r="NFH85" s="268"/>
      <c r="NFI85" s="267"/>
      <c r="NFJ85" s="268"/>
      <c r="NFK85" s="267"/>
      <c r="NFL85" s="268"/>
      <c r="NFM85" s="267"/>
      <c r="NFN85" s="268"/>
      <c r="NFO85" s="267"/>
      <c r="NFP85" s="268"/>
      <c r="NFQ85" s="267"/>
      <c r="NFR85" s="268"/>
      <c r="NFS85" s="267"/>
      <c r="NFT85" s="268"/>
      <c r="NFU85" s="267"/>
      <c r="NFV85" s="268"/>
      <c r="NFW85" s="267"/>
      <c r="NFX85" s="268"/>
      <c r="NFY85" s="267"/>
      <c r="NFZ85" s="268"/>
      <c r="NGA85" s="267"/>
      <c r="NGB85" s="268"/>
      <c r="NGC85" s="267"/>
      <c r="NGD85" s="268"/>
      <c r="NGE85" s="267"/>
      <c r="NGF85" s="268"/>
      <c r="NGG85" s="267"/>
      <c r="NGH85" s="268"/>
      <c r="NGI85" s="267"/>
      <c r="NGJ85" s="268"/>
      <c r="NGK85" s="267"/>
      <c r="NGL85" s="268"/>
      <c r="NGM85" s="267"/>
      <c r="NGN85" s="268"/>
      <c r="NGO85" s="267"/>
      <c r="NGP85" s="268"/>
      <c r="NGQ85" s="267"/>
      <c r="NGR85" s="268"/>
      <c r="NGS85" s="267"/>
      <c r="NGT85" s="268"/>
      <c r="NGU85" s="267"/>
      <c r="NGV85" s="268"/>
      <c r="NGW85" s="267"/>
      <c r="NGX85" s="268"/>
      <c r="NGY85" s="267"/>
      <c r="NGZ85" s="268"/>
      <c r="NHA85" s="267"/>
      <c r="NHB85" s="268"/>
      <c r="NHC85" s="267"/>
      <c r="NHD85" s="268"/>
      <c r="NHE85" s="267"/>
      <c r="NHF85" s="268"/>
      <c r="NHG85" s="267"/>
      <c r="NHH85" s="268"/>
      <c r="NHI85" s="267"/>
      <c r="NHJ85" s="268"/>
      <c r="NHK85" s="267"/>
      <c r="NHL85" s="268"/>
      <c r="NHM85" s="267"/>
      <c r="NHN85" s="268"/>
      <c r="NHO85" s="267"/>
      <c r="NHP85" s="268"/>
      <c r="NHQ85" s="267"/>
      <c r="NHR85" s="268"/>
      <c r="NHS85" s="267"/>
      <c r="NHT85" s="268"/>
      <c r="NHU85" s="267"/>
      <c r="NHV85" s="268"/>
      <c r="NHW85" s="267"/>
      <c r="NHX85" s="268"/>
      <c r="NHY85" s="267"/>
      <c r="NHZ85" s="268"/>
      <c r="NIA85" s="267"/>
      <c r="NIB85" s="268"/>
      <c r="NIC85" s="267"/>
      <c r="NID85" s="268"/>
      <c r="NIE85" s="267"/>
      <c r="NIF85" s="268"/>
      <c r="NIG85" s="267"/>
      <c r="NIH85" s="268"/>
      <c r="NII85" s="267"/>
      <c r="NIJ85" s="268"/>
      <c r="NIK85" s="267"/>
      <c r="NIL85" s="268"/>
      <c r="NIM85" s="267"/>
      <c r="NIN85" s="268"/>
      <c r="NIO85" s="267"/>
      <c r="NIP85" s="268"/>
      <c r="NIQ85" s="267"/>
      <c r="NIR85" s="268"/>
      <c r="NIS85" s="267"/>
      <c r="NIT85" s="268"/>
      <c r="NIU85" s="267"/>
      <c r="NIV85" s="268"/>
      <c r="NIW85" s="267"/>
      <c r="NIX85" s="268"/>
      <c r="NIY85" s="267"/>
      <c r="NIZ85" s="268"/>
      <c r="NJA85" s="267"/>
      <c r="NJB85" s="268"/>
      <c r="NJC85" s="267"/>
      <c r="NJD85" s="268"/>
      <c r="NJE85" s="267"/>
      <c r="NJF85" s="268"/>
      <c r="NJG85" s="267"/>
      <c r="NJH85" s="268"/>
      <c r="NJI85" s="267"/>
      <c r="NJJ85" s="268"/>
      <c r="NJK85" s="267"/>
      <c r="NJL85" s="268"/>
      <c r="NJM85" s="267"/>
      <c r="NJN85" s="268"/>
      <c r="NJO85" s="267"/>
      <c r="NJP85" s="268"/>
      <c r="NJQ85" s="267"/>
      <c r="NJR85" s="268"/>
      <c r="NJS85" s="267"/>
      <c r="NJT85" s="268"/>
      <c r="NJU85" s="267"/>
      <c r="NJV85" s="268"/>
      <c r="NJW85" s="267"/>
      <c r="NJX85" s="268"/>
      <c r="NJY85" s="267"/>
      <c r="NJZ85" s="268"/>
      <c r="NKA85" s="267"/>
      <c r="NKB85" s="268"/>
      <c r="NKC85" s="267"/>
      <c r="NKD85" s="268"/>
      <c r="NKE85" s="267"/>
      <c r="NKF85" s="268"/>
      <c r="NKG85" s="267"/>
      <c r="NKH85" s="268"/>
      <c r="NKI85" s="267"/>
      <c r="NKJ85" s="268"/>
      <c r="NKK85" s="267"/>
      <c r="NKL85" s="268"/>
      <c r="NKM85" s="267"/>
      <c r="NKN85" s="268"/>
      <c r="NKO85" s="267"/>
      <c r="NKP85" s="268"/>
      <c r="NKQ85" s="267"/>
      <c r="NKR85" s="268"/>
      <c r="NKS85" s="267"/>
      <c r="NKT85" s="268"/>
      <c r="NKU85" s="267"/>
      <c r="NKV85" s="268"/>
      <c r="NKW85" s="267"/>
      <c r="NKX85" s="268"/>
      <c r="NKY85" s="267"/>
      <c r="NKZ85" s="268"/>
      <c r="NLA85" s="267"/>
      <c r="NLB85" s="268"/>
      <c r="NLC85" s="267"/>
      <c r="NLD85" s="268"/>
      <c r="NLE85" s="267"/>
      <c r="NLF85" s="268"/>
      <c r="NLG85" s="267"/>
      <c r="NLH85" s="268"/>
      <c r="NLI85" s="267"/>
      <c r="NLJ85" s="268"/>
      <c r="NLK85" s="267"/>
      <c r="NLL85" s="268"/>
      <c r="NLM85" s="267"/>
      <c r="NLN85" s="268"/>
      <c r="NLO85" s="267"/>
      <c r="NLP85" s="268"/>
      <c r="NLQ85" s="267"/>
      <c r="NLR85" s="268"/>
      <c r="NLS85" s="267"/>
      <c r="NLT85" s="268"/>
      <c r="NLU85" s="267"/>
      <c r="NLV85" s="268"/>
      <c r="NLW85" s="267"/>
      <c r="NLX85" s="268"/>
      <c r="NLY85" s="267"/>
      <c r="NLZ85" s="268"/>
      <c r="NMA85" s="267"/>
      <c r="NMB85" s="268"/>
      <c r="NMC85" s="267"/>
      <c r="NMD85" s="268"/>
      <c r="NME85" s="267"/>
      <c r="NMF85" s="268"/>
      <c r="NMG85" s="267"/>
      <c r="NMH85" s="268"/>
      <c r="NMI85" s="267"/>
      <c r="NMJ85" s="268"/>
      <c r="NMK85" s="267"/>
      <c r="NML85" s="268"/>
      <c r="NMM85" s="267"/>
      <c r="NMN85" s="268"/>
      <c r="NMO85" s="267"/>
      <c r="NMP85" s="268"/>
      <c r="NMQ85" s="267"/>
      <c r="NMR85" s="268"/>
      <c r="NMS85" s="267"/>
      <c r="NMT85" s="268"/>
      <c r="NMU85" s="267"/>
      <c r="NMV85" s="268"/>
      <c r="NMW85" s="267"/>
      <c r="NMX85" s="268"/>
      <c r="NMY85" s="267"/>
      <c r="NMZ85" s="268"/>
      <c r="NNA85" s="267"/>
      <c r="NNB85" s="268"/>
      <c r="NNC85" s="267"/>
      <c r="NND85" s="268"/>
      <c r="NNE85" s="267"/>
      <c r="NNF85" s="268"/>
      <c r="NNG85" s="267"/>
      <c r="NNH85" s="268"/>
      <c r="NNI85" s="267"/>
      <c r="NNJ85" s="268"/>
      <c r="NNK85" s="267"/>
      <c r="NNL85" s="268"/>
      <c r="NNM85" s="267"/>
      <c r="NNN85" s="268"/>
      <c r="NNO85" s="267"/>
      <c r="NNP85" s="268"/>
      <c r="NNQ85" s="267"/>
      <c r="NNR85" s="268"/>
      <c r="NNS85" s="267"/>
      <c r="NNT85" s="268"/>
      <c r="NNU85" s="267"/>
      <c r="NNV85" s="268"/>
      <c r="NNW85" s="267"/>
      <c r="NNX85" s="268"/>
      <c r="NNY85" s="267"/>
      <c r="NNZ85" s="268"/>
      <c r="NOA85" s="267"/>
      <c r="NOB85" s="268"/>
      <c r="NOC85" s="267"/>
      <c r="NOD85" s="268"/>
      <c r="NOE85" s="267"/>
      <c r="NOF85" s="268"/>
      <c r="NOG85" s="267"/>
      <c r="NOH85" s="268"/>
      <c r="NOI85" s="267"/>
      <c r="NOJ85" s="268"/>
      <c r="NOK85" s="267"/>
      <c r="NOL85" s="268"/>
      <c r="NOM85" s="267"/>
      <c r="NON85" s="268"/>
      <c r="NOO85" s="267"/>
      <c r="NOP85" s="268"/>
      <c r="NOQ85" s="267"/>
      <c r="NOR85" s="268"/>
      <c r="NOS85" s="267"/>
      <c r="NOT85" s="268"/>
      <c r="NOU85" s="267"/>
      <c r="NOV85" s="268"/>
      <c r="NOW85" s="267"/>
      <c r="NOX85" s="268"/>
      <c r="NOY85" s="267"/>
      <c r="NOZ85" s="268"/>
      <c r="NPA85" s="267"/>
      <c r="NPB85" s="268"/>
      <c r="NPC85" s="267"/>
      <c r="NPD85" s="268"/>
      <c r="NPE85" s="267"/>
      <c r="NPF85" s="268"/>
      <c r="NPG85" s="267"/>
      <c r="NPH85" s="268"/>
      <c r="NPI85" s="267"/>
      <c r="NPJ85" s="268"/>
      <c r="NPK85" s="267"/>
      <c r="NPL85" s="268"/>
      <c r="NPM85" s="267"/>
      <c r="NPN85" s="268"/>
      <c r="NPO85" s="267"/>
      <c r="NPP85" s="268"/>
      <c r="NPQ85" s="267"/>
      <c r="NPR85" s="268"/>
      <c r="NPS85" s="267"/>
      <c r="NPT85" s="268"/>
      <c r="NPU85" s="267"/>
      <c r="NPV85" s="268"/>
      <c r="NPW85" s="267"/>
      <c r="NPX85" s="268"/>
      <c r="NPY85" s="267"/>
      <c r="NPZ85" s="268"/>
      <c r="NQA85" s="267"/>
      <c r="NQB85" s="268"/>
      <c r="NQC85" s="267"/>
      <c r="NQD85" s="268"/>
      <c r="NQE85" s="267"/>
      <c r="NQF85" s="268"/>
      <c r="NQG85" s="267"/>
      <c r="NQH85" s="268"/>
      <c r="NQI85" s="267"/>
      <c r="NQJ85" s="268"/>
      <c r="NQK85" s="267"/>
      <c r="NQL85" s="268"/>
      <c r="NQM85" s="267"/>
      <c r="NQN85" s="268"/>
      <c r="NQO85" s="267"/>
      <c r="NQP85" s="268"/>
      <c r="NQQ85" s="267"/>
      <c r="NQR85" s="268"/>
      <c r="NQS85" s="267"/>
      <c r="NQT85" s="268"/>
      <c r="NQU85" s="267"/>
      <c r="NQV85" s="268"/>
      <c r="NQW85" s="267"/>
      <c r="NQX85" s="268"/>
      <c r="NQY85" s="267"/>
      <c r="NQZ85" s="268"/>
      <c r="NRA85" s="267"/>
      <c r="NRB85" s="268"/>
      <c r="NRC85" s="267"/>
      <c r="NRD85" s="268"/>
      <c r="NRE85" s="267"/>
      <c r="NRF85" s="268"/>
      <c r="NRG85" s="267"/>
      <c r="NRH85" s="268"/>
      <c r="NRI85" s="267"/>
      <c r="NRJ85" s="268"/>
      <c r="NRK85" s="267"/>
      <c r="NRL85" s="268"/>
      <c r="NRM85" s="267"/>
      <c r="NRN85" s="268"/>
      <c r="NRO85" s="267"/>
      <c r="NRP85" s="268"/>
      <c r="NRQ85" s="267"/>
      <c r="NRR85" s="268"/>
      <c r="NRS85" s="267"/>
      <c r="NRT85" s="268"/>
      <c r="NRU85" s="267"/>
      <c r="NRV85" s="268"/>
      <c r="NRW85" s="267"/>
      <c r="NRX85" s="268"/>
      <c r="NRY85" s="267"/>
      <c r="NRZ85" s="268"/>
      <c r="NSA85" s="267"/>
      <c r="NSB85" s="268"/>
      <c r="NSC85" s="267"/>
      <c r="NSD85" s="268"/>
      <c r="NSE85" s="267"/>
      <c r="NSF85" s="268"/>
      <c r="NSG85" s="267"/>
      <c r="NSH85" s="268"/>
      <c r="NSI85" s="267"/>
      <c r="NSJ85" s="268"/>
      <c r="NSK85" s="267"/>
      <c r="NSL85" s="268"/>
      <c r="NSM85" s="267"/>
      <c r="NSN85" s="268"/>
      <c r="NSO85" s="267"/>
      <c r="NSP85" s="268"/>
      <c r="NSQ85" s="267"/>
      <c r="NSR85" s="268"/>
      <c r="NSS85" s="267"/>
      <c r="NST85" s="268"/>
      <c r="NSU85" s="267"/>
      <c r="NSV85" s="268"/>
      <c r="NSW85" s="267"/>
      <c r="NSX85" s="268"/>
      <c r="NSY85" s="267"/>
      <c r="NSZ85" s="268"/>
      <c r="NTA85" s="267"/>
      <c r="NTB85" s="268"/>
      <c r="NTC85" s="267"/>
      <c r="NTD85" s="268"/>
      <c r="NTE85" s="267"/>
      <c r="NTF85" s="268"/>
      <c r="NTG85" s="267"/>
      <c r="NTH85" s="268"/>
      <c r="NTI85" s="267"/>
      <c r="NTJ85" s="268"/>
      <c r="NTK85" s="267"/>
      <c r="NTL85" s="268"/>
      <c r="NTM85" s="267"/>
      <c r="NTN85" s="268"/>
      <c r="NTO85" s="267"/>
      <c r="NTP85" s="268"/>
      <c r="NTQ85" s="267"/>
      <c r="NTR85" s="268"/>
      <c r="NTS85" s="267"/>
      <c r="NTT85" s="268"/>
      <c r="NTU85" s="267"/>
      <c r="NTV85" s="268"/>
      <c r="NTW85" s="267"/>
      <c r="NTX85" s="268"/>
      <c r="NTY85" s="267"/>
      <c r="NTZ85" s="268"/>
      <c r="NUA85" s="267"/>
      <c r="NUB85" s="268"/>
      <c r="NUC85" s="267"/>
      <c r="NUD85" s="268"/>
      <c r="NUE85" s="267"/>
      <c r="NUF85" s="268"/>
      <c r="NUG85" s="267"/>
      <c r="NUH85" s="268"/>
      <c r="NUI85" s="267"/>
      <c r="NUJ85" s="268"/>
      <c r="NUK85" s="267"/>
      <c r="NUL85" s="268"/>
      <c r="NUM85" s="267"/>
      <c r="NUN85" s="268"/>
      <c r="NUO85" s="267"/>
      <c r="NUP85" s="268"/>
      <c r="NUQ85" s="267"/>
      <c r="NUR85" s="268"/>
      <c r="NUS85" s="267"/>
      <c r="NUT85" s="268"/>
      <c r="NUU85" s="267"/>
      <c r="NUV85" s="268"/>
      <c r="NUW85" s="267"/>
      <c r="NUX85" s="268"/>
      <c r="NUY85" s="267"/>
      <c r="NUZ85" s="268"/>
      <c r="NVA85" s="267"/>
      <c r="NVB85" s="268"/>
      <c r="NVC85" s="267"/>
      <c r="NVD85" s="268"/>
      <c r="NVE85" s="267"/>
      <c r="NVF85" s="268"/>
      <c r="NVG85" s="267"/>
      <c r="NVH85" s="268"/>
      <c r="NVI85" s="267"/>
      <c r="NVJ85" s="268"/>
      <c r="NVK85" s="267"/>
      <c r="NVL85" s="268"/>
      <c r="NVM85" s="267"/>
      <c r="NVN85" s="268"/>
      <c r="NVO85" s="267"/>
      <c r="NVP85" s="268"/>
      <c r="NVQ85" s="267"/>
      <c r="NVR85" s="268"/>
      <c r="NVS85" s="267"/>
      <c r="NVT85" s="268"/>
      <c r="NVU85" s="267"/>
      <c r="NVV85" s="268"/>
      <c r="NVW85" s="267"/>
      <c r="NVX85" s="268"/>
      <c r="NVY85" s="267"/>
      <c r="NVZ85" s="268"/>
      <c r="NWA85" s="267"/>
      <c r="NWB85" s="268"/>
      <c r="NWC85" s="267"/>
      <c r="NWD85" s="268"/>
      <c r="NWE85" s="267"/>
      <c r="NWF85" s="268"/>
      <c r="NWG85" s="267"/>
      <c r="NWH85" s="268"/>
      <c r="NWI85" s="267"/>
      <c r="NWJ85" s="268"/>
      <c r="NWK85" s="267"/>
      <c r="NWL85" s="268"/>
      <c r="NWM85" s="267"/>
      <c r="NWN85" s="268"/>
      <c r="NWO85" s="267"/>
      <c r="NWP85" s="268"/>
      <c r="NWQ85" s="267"/>
      <c r="NWR85" s="268"/>
      <c r="NWS85" s="267"/>
      <c r="NWT85" s="268"/>
      <c r="NWU85" s="267"/>
      <c r="NWV85" s="268"/>
      <c r="NWW85" s="267"/>
      <c r="NWX85" s="268"/>
      <c r="NWY85" s="267"/>
      <c r="NWZ85" s="268"/>
      <c r="NXA85" s="267"/>
      <c r="NXB85" s="268"/>
      <c r="NXC85" s="267"/>
      <c r="NXD85" s="268"/>
      <c r="NXE85" s="267"/>
      <c r="NXF85" s="268"/>
      <c r="NXG85" s="267"/>
      <c r="NXH85" s="268"/>
      <c r="NXI85" s="267"/>
      <c r="NXJ85" s="268"/>
      <c r="NXK85" s="267"/>
      <c r="NXL85" s="268"/>
      <c r="NXM85" s="267"/>
      <c r="NXN85" s="268"/>
      <c r="NXO85" s="267"/>
      <c r="NXP85" s="268"/>
      <c r="NXQ85" s="267"/>
      <c r="NXR85" s="268"/>
      <c r="NXS85" s="267"/>
      <c r="NXT85" s="268"/>
      <c r="NXU85" s="267"/>
      <c r="NXV85" s="268"/>
      <c r="NXW85" s="267"/>
      <c r="NXX85" s="268"/>
      <c r="NXY85" s="267"/>
      <c r="NXZ85" s="268"/>
      <c r="NYA85" s="267"/>
      <c r="NYB85" s="268"/>
      <c r="NYC85" s="267"/>
      <c r="NYD85" s="268"/>
      <c r="NYE85" s="267"/>
      <c r="NYF85" s="268"/>
      <c r="NYG85" s="267"/>
      <c r="NYH85" s="268"/>
      <c r="NYI85" s="267"/>
      <c r="NYJ85" s="268"/>
      <c r="NYK85" s="267"/>
      <c r="NYL85" s="268"/>
      <c r="NYM85" s="267"/>
      <c r="NYN85" s="268"/>
      <c r="NYO85" s="267"/>
      <c r="NYP85" s="268"/>
      <c r="NYQ85" s="267"/>
      <c r="NYR85" s="268"/>
      <c r="NYS85" s="267"/>
      <c r="NYT85" s="268"/>
      <c r="NYU85" s="267"/>
      <c r="NYV85" s="268"/>
      <c r="NYW85" s="267"/>
      <c r="NYX85" s="268"/>
      <c r="NYY85" s="267"/>
      <c r="NYZ85" s="268"/>
      <c r="NZA85" s="267"/>
      <c r="NZB85" s="268"/>
      <c r="NZC85" s="267"/>
      <c r="NZD85" s="268"/>
      <c r="NZE85" s="267"/>
      <c r="NZF85" s="268"/>
      <c r="NZG85" s="267"/>
      <c r="NZH85" s="268"/>
      <c r="NZI85" s="267"/>
      <c r="NZJ85" s="268"/>
      <c r="NZK85" s="267"/>
      <c r="NZL85" s="268"/>
      <c r="NZM85" s="267"/>
      <c r="NZN85" s="268"/>
      <c r="NZO85" s="267"/>
      <c r="NZP85" s="268"/>
      <c r="NZQ85" s="267"/>
      <c r="NZR85" s="268"/>
      <c r="NZS85" s="267"/>
      <c r="NZT85" s="268"/>
      <c r="NZU85" s="267"/>
      <c r="NZV85" s="268"/>
      <c r="NZW85" s="267"/>
      <c r="NZX85" s="268"/>
      <c r="NZY85" s="267"/>
      <c r="NZZ85" s="268"/>
      <c r="OAA85" s="267"/>
      <c r="OAB85" s="268"/>
      <c r="OAC85" s="267"/>
      <c r="OAD85" s="268"/>
      <c r="OAE85" s="267"/>
      <c r="OAF85" s="268"/>
      <c r="OAG85" s="267"/>
      <c r="OAH85" s="268"/>
      <c r="OAI85" s="267"/>
      <c r="OAJ85" s="268"/>
      <c r="OAK85" s="267"/>
      <c r="OAL85" s="268"/>
      <c r="OAM85" s="267"/>
      <c r="OAN85" s="268"/>
      <c r="OAO85" s="267"/>
      <c r="OAP85" s="268"/>
      <c r="OAQ85" s="267"/>
      <c r="OAR85" s="268"/>
      <c r="OAS85" s="267"/>
      <c r="OAT85" s="268"/>
      <c r="OAU85" s="267"/>
      <c r="OAV85" s="268"/>
      <c r="OAW85" s="267"/>
      <c r="OAX85" s="268"/>
      <c r="OAY85" s="267"/>
      <c r="OAZ85" s="268"/>
      <c r="OBA85" s="267"/>
      <c r="OBB85" s="268"/>
      <c r="OBC85" s="267"/>
      <c r="OBD85" s="268"/>
      <c r="OBE85" s="267"/>
      <c r="OBF85" s="268"/>
      <c r="OBG85" s="267"/>
      <c r="OBH85" s="268"/>
      <c r="OBI85" s="267"/>
      <c r="OBJ85" s="268"/>
      <c r="OBK85" s="267"/>
      <c r="OBL85" s="268"/>
      <c r="OBM85" s="267"/>
      <c r="OBN85" s="268"/>
      <c r="OBO85" s="267"/>
      <c r="OBP85" s="268"/>
      <c r="OBQ85" s="267"/>
      <c r="OBR85" s="268"/>
      <c r="OBS85" s="267"/>
      <c r="OBT85" s="268"/>
      <c r="OBU85" s="267"/>
      <c r="OBV85" s="268"/>
      <c r="OBW85" s="267"/>
      <c r="OBX85" s="268"/>
      <c r="OBY85" s="267"/>
      <c r="OBZ85" s="268"/>
      <c r="OCA85" s="267"/>
      <c r="OCB85" s="268"/>
      <c r="OCC85" s="267"/>
      <c r="OCD85" s="268"/>
      <c r="OCE85" s="267"/>
      <c r="OCF85" s="268"/>
      <c r="OCG85" s="267"/>
      <c r="OCH85" s="268"/>
      <c r="OCI85" s="267"/>
      <c r="OCJ85" s="268"/>
      <c r="OCK85" s="267"/>
      <c r="OCL85" s="268"/>
      <c r="OCM85" s="267"/>
      <c r="OCN85" s="268"/>
      <c r="OCO85" s="267"/>
      <c r="OCP85" s="268"/>
      <c r="OCQ85" s="267"/>
      <c r="OCR85" s="268"/>
      <c r="OCS85" s="267"/>
      <c r="OCT85" s="268"/>
      <c r="OCU85" s="267"/>
      <c r="OCV85" s="268"/>
      <c r="OCW85" s="267"/>
      <c r="OCX85" s="268"/>
      <c r="OCY85" s="267"/>
      <c r="OCZ85" s="268"/>
      <c r="ODA85" s="267"/>
      <c r="ODB85" s="268"/>
      <c r="ODC85" s="267"/>
      <c r="ODD85" s="268"/>
      <c r="ODE85" s="267"/>
      <c r="ODF85" s="268"/>
      <c r="ODG85" s="267"/>
      <c r="ODH85" s="268"/>
      <c r="ODI85" s="267"/>
      <c r="ODJ85" s="268"/>
      <c r="ODK85" s="267"/>
      <c r="ODL85" s="268"/>
      <c r="ODM85" s="267"/>
      <c r="ODN85" s="268"/>
      <c r="ODO85" s="267"/>
      <c r="ODP85" s="268"/>
      <c r="ODQ85" s="267"/>
      <c r="ODR85" s="268"/>
      <c r="ODS85" s="267"/>
      <c r="ODT85" s="268"/>
      <c r="ODU85" s="267"/>
      <c r="ODV85" s="268"/>
      <c r="ODW85" s="267"/>
      <c r="ODX85" s="268"/>
      <c r="ODY85" s="267"/>
      <c r="ODZ85" s="268"/>
      <c r="OEA85" s="267"/>
      <c r="OEB85" s="268"/>
      <c r="OEC85" s="267"/>
      <c r="OED85" s="268"/>
      <c r="OEE85" s="267"/>
      <c r="OEF85" s="268"/>
      <c r="OEG85" s="267"/>
      <c r="OEH85" s="268"/>
      <c r="OEI85" s="267"/>
      <c r="OEJ85" s="268"/>
      <c r="OEK85" s="267"/>
      <c r="OEL85" s="268"/>
      <c r="OEM85" s="267"/>
      <c r="OEN85" s="268"/>
      <c r="OEO85" s="267"/>
      <c r="OEP85" s="268"/>
      <c r="OEQ85" s="267"/>
      <c r="OER85" s="268"/>
      <c r="OES85" s="267"/>
      <c r="OET85" s="268"/>
      <c r="OEU85" s="267"/>
      <c r="OEV85" s="268"/>
      <c r="OEW85" s="267"/>
      <c r="OEX85" s="268"/>
      <c r="OEY85" s="267"/>
      <c r="OEZ85" s="268"/>
      <c r="OFA85" s="267"/>
      <c r="OFB85" s="268"/>
      <c r="OFC85" s="267"/>
      <c r="OFD85" s="268"/>
      <c r="OFE85" s="267"/>
      <c r="OFF85" s="268"/>
      <c r="OFG85" s="267"/>
      <c r="OFH85" s="268"/>
      <c r="OFI85" s="267"/>
      <c r="OFJ85" s="268"/>
      <c r="OFK85" s="267"/>
      <c r="OFL85" s="268"/>
      <c r="OFM85" s="267"/>
      <c r="OFN85" s="268"/>
      <c r="OFO85" s="267"/>
      <c r="OFP85" s="268"/>
      <c r="OFQ85" s="267"/>
      <c r="OFR85" s="268"/>
      <c r="OFS85" s="267"/>
      <c r="OFT85" s="268"/>
      <c r="OFU85" s="267"/>
      <c r="OFV85" s="268"/>
      <c r="OFW85" s="267"/>
      <c r="OFX85" s="268"/>
      <c r="OFY85" s="267"/>
      <c r="OFZ85" s="268"/>
      <c r="OGA85" s="267"/>
      <c r="OGB85" s="268"/>
      <c r="OGC85" s="267"/>
      <c r="OGD85" s="268"/>
      <c r="OGE85" s="267"/>
      <c r="OGF85" s="268"/>
      <c r="OGG85" s="267"/>
      <c r="OGH85" s="268"/>
      <c r="OGI85" s="267"/>
      <c r="OGJ85" s="268"/>
      <c r="OGK85" s="267"/>
      <c r="OGL85" s="268"/>
      <c r="OGM85" s="267"/>
      <c r="OGN85" s="268"/>
      <c r="OGO85" s="267"/>
      <c r="OGP85" s="268"/>
      <c r="OGQ85" s="267"/>
      <c r="OGR85" s="268"/>
      <c r="OGS85" s="267"/>
      <c r="OGT85" s="268"/>
      <c r="OGU85" s="267"/>
      <c r="OGV85" s="268"/>
      <c r="OGW85" s="267"/>
      <c r="OGX85" s="268"/>
      <c r="OGY85" s="267"/>
      <c r="OGZ85" s="268"/>
      <c r="OHA85" s="267"/>
      <c r="OHB85" s="268"/>
      <c r="OHC85" s="267"/>
      <c r="OHD85" s="268"/>
      <c r="OHE85" s="267"/>
      <c r="OHF85" s="268"/>
      <c r="OHG85" s="267"/>
      <c r="OHH85" s="268"/>
      <c r="OHI85" s="267"/>
      <c r="OHJ85" s="268"/>
      <c r="OHK85" s="267"/>
      <c r="OHL85" s="268"/>
      <c r="OHM85" s="267"/>
      <c r="OHN85" s="268"/>
      <c r="OHO85" s="267"/>
      <c r="OHP85" s="268"/>
      <c r="OHQ85" s="267"/>
      <c r="OHR85" s="268"/>
      <c r="OHS85" s="267"/>
      <c r="OHT85" s="268"/>
      <c r="OHU85" s="267"/>
      <c r="OHV85" s="268"/>
      <c r="OHW85" s="267"/>
      <c r="OHX85" s="268"/>
      <c r="OHY85" s="267"/>
      <c r="OHZ85" s="268"/>
      <c r="OIA85" s="267"/>
      <c r="OIB85" s="268"/>
      <c r="OIC85" s="267"/>
      <c r="OID85" s="268"/>
      <c r="OIE85" s="267"/>
      <c r="OIF85" s="268"/>
      <c r="OIG85" s="267"/>
      <c r="OIH85" s="268"/>
      <c r="OII85" s="267"/>
      <c r="OIJ85" s="268"/>
      <c r="OIK85" s="267"/>
      <c r="OIL85" s="268"/>
      <c r="OIM85" s="267"/>
      <c r="OIN85" s="268"/>
      <c r="OIO85" s="267"/>
      <c r="OIP85" s="268"/>
      <c r="OIQ85" s="267"/>
      <c r="OIR85" s="268"/>
      <c r="OIS85" s="267"/>
      <c r="OIT85" s="268"/>
      <c r="OIU85" s="267"/>
      <c r="OIV85" s="268"/>
      <c r="OIW85" s="267"/>
      <c r="OIX85" s="268"/>
      <c r="OIY85" s="267"/>
      <c r="OIZ85" s="268"/>
      <c r="OJA85" s="267"/>
      <c r="OJB85" s="268"/>
      <c r="OJC85" s="267"/>
      <c r="OJD85" s="268"/>
      <c r="OJE85" s="267"/>
      <c r="OJF85" s="268"/>
      <c r="OJG85" s="267"/>
      <c r="OJH85" s="268"/>
      <c r="OJI85" s="267"/>
      <c r="OJJ85" s="268"/>
      <c r="OJK85" s="267"/>
      <c r="OJL85" s="268"/>
      <c r="OJM85" s="267"/>
      <c r="OJN85" s="268"/>
      <c r="OJO85" s="267"/>
      <c r="OJP85" s="268"/>
      <c r="OJQ85" s="267"/>
      <c r="OJR85" s="268"/>
      <c r="OJS85" s="267"/>
      <c r="OJT85" s="268"/>
      <c r="OJU85" s="267"/>
      <c r="OJV85" s="268"/>
      <c r="OJW85" s="267"/>
      <c r="OJX85" s="268"/>
      <c r="OJY85" s="267"/>
      <c r="OJZ85" s="268"/>
      <c r="OKA85" s="267"/>
      <c r="OKB85" s="268"/>
      <c r="OKC85" s="267"/>
      <c r="OKD85" s="268"/>
      <c r="OKE85" s="267"/>
      <c r="OKF85" s="268"/>
      <c r="OKG85" s="267"/>
      <c r="OKH85" s="268"/>
      <c r="OKI85" s="267"/>
      <c r="OKJ85" s="268"/>
      <c r="OKK85" s="267"/>
      <c r="OKL85" s="268"/>
      <c r="OKM85" s="267"/>
      <c r="OKN85" s="268"/>
      <c r="OKO85" s="267"/>
      <c r="OKP85" s="268"/>
      <c r="OKQ85" s="267"/>
      <c r="OKR85" s="268"/>
      <c r="OKS85" s="267"/>
      <c r="OKT85" s="268"/>
      <c r="OKU85" s="267"/>
      <c r="OKV85" s="268"/>
      <c r="OKW85" s="267"/>
      <c r="OKX85" s="268"/>
      <c r="OKY85" s="267"/>
      <c r="OKZ85" s="268"/>
      <c r="OLA85" s="267"/>
      <c r="OLB85" s="268"/>
      <c r="OLC85" s="267"/>
      <c r="OLD85" s="268"/>
      <c r="OLE85" s="267"/>
      <c r="OLF85" s="268"/>
      <c r="OLG85" s="267"/>
      <c r="OLH85" s="268"/>
      <c r="OLI85" s="267"/>
      <c r="OLJ85" s="268"/>
      <c r="OLK85" s="267"/>
      <c r="OLL85" s="268"/>
      <c r="OLM85" s="267"/>
      <c r="OLN85" s="268"/>
      <c r="OLO85" s="267"/>
      <c r="OLP85" s="268"/>
      <c r="OLQ85" s="267"/>
      <c r="OLR85" s="268"/>
      <c r="OLS85" s="267"/>
      <c r="OLT85" s="268"/>
      <c r="OLU85" s="267"/>
      <c r="OLV85" s="268"/>
      <c r="OLW85" s="267"/>
      <c r="OLX85" s="268"/>
      <c r="OLY85" s="267"/>
      <c r="OLZ85" s="268"/>
      <c r="OMA85" s="267"/>
      <c r="OMB85" s="268"/>
      <c r="OMC85" s="267"/>
      <c r="OMD85" s="268"/>
      <c r="OME85" s="267"/>
      <c r="OMF85" s="268"/>
      <c r="OMG85" s="267"/>
      <c r="OMH85" s="268"/>
      <c r="OMI85" s="267"/>
      <c r="OMJ85" s="268"/>
      <c r="OMK85" s="267"/>
      <c r="OML85" s="268"/>
      <c r="OMM85" s="267"/>
      <c r="OMN85" s="268"/>
      <c r="OMO85" s="267"/>
      <c r="OMP85" s="268"/>
      <c r="OMQ85" s="267"/>
      <c r="OMR85" s="268"/>
      <c r="OMS85" s="267"/>
      <c r="OMT85" s="268"/>
      <c r="OMU85" s="267"/>
      <c r="OMV85" s="268"/>
      <c r="OMW85" s="267"/>
      <c r="OMX85" s="268"/>
      <c r="OMY85" s="267"/>
      <c r="OMZ85" s="268"/>
      <c r="ONA85" s="267"/>
      <c r="ONB85" s="268"/>
      <c r="ONC85" s="267"/>
      <c r="OND85" s="268"/>
      <c r="ONE85" s="267"/>
      <c r="ONF85" s="268"/>
      <c r="ONG85" s="267"/>
      <c r="ONH85" s="268"/>
      <c r="ONI85" s="267"/>
      <c r="ONJ85" s="268"/>
      <c r="ONK85" s="267"/>
      <c r="ONL85" s="268"/>
      <c r="ONM85" s="267"/>
      <c r="ONN85" s="268"/>
      <c r="ONO85" s="267"/>
      <c r="ONP85" s="268"/>
      <c r="ONQ85" s="267"/>
      <c r="ONR85" s="268"/>
      <c r="ONS85" s="267"/>
      <c r="ONT85" s="268"/>
      <c r="ONU85" s="267"/>
      <c r="ONV85" s="268"/>
      <c r="ONW85" s="267"/>
      <c r="ONX85" s="268"/>
      <c r="ONY85" s="267"/>
      <c r="ONZ85" s="268"/>
      <c r="OOA85" s="267"/>
      <c r="OOB85" s="268"/>
      <c r="OOC85" s="267"/>
      <c r="OOD85" s="268"/>
      <c r="OOE85" s="267"/>
      <c r="OOF85" s="268"/>
      <c r="OOG85" s="267"/>
      <c r="OOH85" s="268"/>
      <c r="OOI85" s="267"/>
      <c r="OOJ85" s="268"/>
      <c r="OOK85" s="267"/>
      <c r="OOL85" s="268"/>
      <c r="OOM85" s="267"/>
      <c r="OON85" s="268"/>
      <c r="OOO85" s="267"/>
      <c r="OOP85" s="268"/>
      <c r="OOQ85" s="267"/>
      <c r="OOR85" s="268"/>
      <c r="OOS85" s="267"/>
      <c r="OOT85" s="268"/>
      <c r="OOU85" s="267"/>
      <c r="OOV85" s="268"/>
      <c r="OOW85" s="267"/>
      <c r="OOX85" s="268"/>
      <c r="OOY85" s="267"/>
      <c r="OOZ85" s="268"/>
      <c r="OPA85" s="267"/>
      <c r="OPB85" s="268"/>
      <c r="OPC85" s="267"/>
      <c r="OPD85" s="268"/>
      <c r="OPE85" s="267"/>
      <c r="OPF85" s="268"/>
      <c r="OPG85" s="267"/>
      <c r="OPH85" s="268"/>
      <c r="OPI85" s="267"/>
      <c r="OPJ85" s="268"/>
      <c r="OPK85" s="267"/>
      <c r="OPL85" s="268"/>
      <c r="OPM85" s="267"/>
      <c r="OPN85" s="268"/>
      <c r="OPO85" s="267"/>
      <c r="OPP85" s="268"/>
      <c r="OPQ85" s="267"/>
      <c r="OPR85" s="268"/>
      <c r="OPS85" s="267"/>
      <c r="OPT85" s="268"/>
      <c r="OPU85" s="267"/>
      <c r="OPV85" s="268"/>
      <c r="OPW85" s="267"/>
      <c r="OPX85" s="268"/>
      <c r="OPY85" s="267"/>
      <c r="OPZ85" s="268"/>
      <c r="OQA85" s="267"/>
      <c r="OQB85" s="268"/>
      <c r="OQC85" s="267"/>
      <c r="OQD85" s="268"/>
      <c r="OQE85" s="267"/>
      <c r="OQF85" s="268"/>
      <c r="OQG85" s="267"/>
      <c r="OQH85" s="268"/>
      <c r="OQI85" s="267"/>
      <c r="OQJ85" s="268"/>
      <c r="OQK85" s="267"/>
      <c r="OQL85" s="268"/>
      <c r="OQM85" s="267"/>
      <c r="OQN85" s="268"/>
      <c r="OQO85" s="267"/>
      <c r="OQP85" s="268"/>
      <c r="OQQ85" s="267"/>
      <c r="OQR85" s="268"/>
      <c r="OQS85" s="267"/>
      <c r="OQT85" s="268"/>
      <c r="OQU85" s="267"/>
      <c r="OQV85" s="268"/>
      <c r="OQW85" s="267"/>
      <c r="OQX85" s="268"/>
      <c r="OQY85" s="267"/>
      <c r="OQZ85" s="268"/>
      <c r="ORA85" s="267"/>
      <c r="ORB85" s="268"/>
      <c r="ORC85" s="267"/>
      <c r="ORD85" s="268"/>
      <c r="ORE85" s="267"/>
      <c r="ORF85" s="268"/>
      <c r="ORG85" s="267"/>
      <c r="ORH85" s="268"/>
      <c r="ORI85" s="267"/>
      <c r="ORJ85" s="268"/>
      <c r="ORK85" s="267"/>
      <c r="ORL85" s="268"/>
      <c r="ORM85" s="267"/>
      <c r="ORN85" s="268"/>
      <c r="ORO85" s="267"/>
      <c r="ORP85" s="268"/>
      <c r="ORQ85" s="267"/>
      <c r="ORR85" s="268"/>
      <c r="ORS85" s="267"/>
      <c r="ORT85" s="268"/>
      <c r="ORU85" s="267"/>
      <c r="ORV85" s="268"/>
      <c r="ORW85" s="267"/>
      <c r="ORX85" s="268"/>
      <c r="ORY85" s="267"/>
      <c r="ORZ85" s="268"/>
      <c r="OSA85" s="267"/>
      <c r="OSB85" s="268"/>
      <c r="OSC85" s="267"/>
      <c r="OSD85" s="268"/>
      <c r="OSE85" s="267"/>
      <c r="OSF85" s="268"/>
      <c r="OSG85" s="267"/>
      <c r="OSH85" s="268"/>
      <c r="OSI85" s="267"/>
      <c r="OSJ85" s="268"/>
      <c r="OSK85" s="267"/>
      <c r="OSL85" s="268"/>
      <c r="OSM85" s="267"/>
      <c r="OSN85" s="268"/>
      <c r="OSO85" s="267"/>
      <c r="OSP85" s="268"/>
      <c r="OSQ85" s="267"/>
      <c r="OSR85" s="268"/>
      <c r="OSS85" s="267"/>
      <c r="OST85" s="268"/>
      <c r="OSU85" s="267"/>
      <c r="OSV85" s="268"/>
      <c r="OSW85" s="267"/>
      <c r="OSX85" s="268"/>
      <c r="OSY85" s="267"/>
      <c r="OSZ85" s="268"/>
      <c r="OTA85" s="267"/>
      <c r="OTB85" s="268"/>
      <c r="OTC85" s="267"/>
      <c r="OTD85" s="268"/>
      <c r="OTE85" s="267"/>
      <c r="OTF85" s="268"/>
      <c r="OTG85" s="267"/>
      <c r="OTH85" s="268"/>
      <c r="OTI85" s="267"/>
      <c r="OTJ85" s="268"/>
      <c r="OTK85" s="267"/>
      <c r="OTL85" s="268"/>
      <c r="OTM85" s="267"/>
      <c r="OTN85" s="268"/>
      <c r="OTO85" s="267"/>
      <c r="OTP85" s="268"/>
      <c r="OTQ85" s="267"/>
      <c r="OTR85" s="268"/>
      <c r="OTS85" s="267"/>
      <c r="OTT85" s="268"/>
      <c r="OTU85" s="267"/>
      <c r="OTV85" s="268"/>
      <c r="OTW85" s="267"/>
      <c r="OTX85" s="268"/>
      <c r="OTY85" s="267"/>
      <c r="OTZ85" s="268"/>
      <c r="OUA85" s="267"/>
      <c r="OUB85" s="268"/>
      <c r="OUC85" s="267"/>
      <c r="OUD85" s="268"/>
      <c r="OUE85" s="267"/>
      <c r="OUF85" s="268"/>
      <c r="OUG85" s="267"/>
      <c r="OUH85" s="268"/>
      <c r="OUI85" s="267"/>
      <c r="OUJ85" s="268"/>
      <c r="OUK85" s="267"/>
      <c r="OUL85" s="268"/>
      <c r="OUM85" s="267"/>
      <c r="OUN85" s="268"/>
      <c r="OUO85" s="267"/>
      <c r="OUP85" s="268"/>
      <c r="OUQ85" s="267"/>
      <c r="OUR85" s="268"/>
      <c r="OUS85" s="267"/>
      <c r="OUT85" s="268"/>
      <c r="OUU85" s="267"/>
      <c r="OUV85" s="268"/>
      <c r="OUW85" s="267"/>
      <c r="OUX85" s="268"/>
      <c r="OUY85" s="267"/>
      <c r="OUZ85" s="268"/>
      <c r="OVA85" s="267"/>
      <c r="OVB85" s="268"/>
      <c r="OVC85" s="267"/>
      <c r="OVD85" s="268"/>
      <c r="OVE85" s="267"/>
      <c r="OVF85" s="268"/>
      <c r="OVG85" s="267"/>
      <c r="OVH85" s="268"/>
      <c r="OVI85" s="267"/>
      <c r="OVJ85" s="268"/>
      <c r="OVK85" s="267"/>
      <c r="OVL85" s="268"/>
      <c r="OVM85" s="267"/>
      <c r="OVN85" s="268"/>
      <c r="OVO85" s="267"/>
      <c r="OVP85" s="268"/>
      <c r="OVQ85" s="267"/>
      <c r="OVR85" s="268"/>
      <c r="OVS85" s="267"/>
      <c r="OVT85" s="268"/>
      <c r="OVU85" s="267"/>
      <c r="OVV85" s="268"/>
      <c r="OVW85" s="267"/>
      <c r="OVX85" s="268"/>
      <c r="OVY85" s="267"/>
      <c r="OVZ85" s="268"/>
      <c r="OWA85" s="267"/>
      <c r="OWB85" s="268"/>
      <c r="OWC85" s="267"/>
      <c r="OWD85" s="268"/>
      <c r="OWE85" s="267"/>
      <c r="OWF85" s="268"/>
      <c r="OWG85" s="267"/>
      <c r="OWH85" s="268"/>
      <c r="OWI85" s="267"/>
      <c r="OWJ85" s="268"/>
      <c r="OWK85" s="267"/>
      <c r="OWL85" s="268"/>
      <c r="OWM85" s="267"/>
      <c r="OWN85" s="268"/>
      <c r="OWO85" s="267"/>
      <c r="OWP85" s="268"/>
      <c r="OWQ85" s="267"/>
      <c r="OWR85" s="268"/>
      <c r="OWS85" s="267"/>
      <c r="OWT85" s="268"/>
      <c r="OWU85" s="267"/>
      <c r="OWV85" s="268"/>
      <c r="OWW85" s="267"/>
      <c r="OWX85" s="268"/>
      <c r="OWY85" s="267"/>
      <c r="OWZ85" s="268"/>
      <c r="OXA85" s="267"/>
      <c r="OXB85" s="268"/>
      <c r="OXC85" s="267"/>
      <c r="OXD85" s="268"/>
      <c r="OXE85" s="267"/>
      <c r="OXF85" s="268"/>
      <c r="OXG85" s="267"/>
      <c r="OXH85" s="268"/>
      <c r="OXI85" s="267"/>
      <c r="OXJ85" s="268"/>
      <c r="OXK85" s="267"/>
      <c r="OXL85" s="268"/>
      <c r="OXM85" s="267"/>
      <c r="OXN85" s="268"/>
      <c r="OXO85" s="267"/>
      <c r="OXP85" s="268"/>
      <c r="OXQ85" s="267"/>
      <c r="OXR85" s="268"/>
      <c r="OXS85" s="267"/>
      <c r="OXT85" s="268"/>
      <c r="OXU85" s="267"/>
      <c r="OXV85" s="268"/>
      <c r="OXW85" s="267"/>
      <c r="OXX85" s="268"/>
      <c r="OXY85" s="267"/>
      <c r="OXZ85" s="268"/>
      <c r="OYA85" s="267"/>
      <c r="OYB85" s="268"/>
      <c r="OYC85" s="267"/>
      <c r="OYD85" s="268"/>
      <c r="OYE85" s="267"/>
      <c r="OYF85" s="268"/>
      <c r="OYG85" s="267"/>
      <c r="OYH85" s="268"/>
      <c r="OYI85" s="267"/>
      <c r="OYJ85" s="268"/>
      <c r="OYK85" s="267"/>
      <c r="OYL85" s="268"/>
      <c r="OYM85" s="267"/>
      <c r="OYN85" s="268"/>
      <c r="OYO85" s="267"/>
      <c r="OYP85" s="268"/>
      <c r="OYQ85" s="267"/>
      <c r="OYR85" s="268"/>
      <c r="OYS85" s="267"/>
      <c r="OYT85" s="268"/>
      <c r="OYU85" s="267"/>
      <c r="OYV85" s="268"/>
      <c r="OYW85" s="267"/>
      <c r="OYX85" s="268"/>
      <c r="OYY85" s="267"/>
      <c r="OYZ85" s="268"/>
      <c r="OZA85" s="267"/>
      <c r="OZB85" s="268"/>
      <c r="OZC85" s="267"/>
      <c r="OZD85" s="268"/>
      <c r="OZE85" s="267"/>
      <c r="OZF85" s="268"/>
      <c r="OZG85" s="267"/>
      <c r="OZH85" s="268"/>
      <c r="OZI85" s="267"/>
      <c r="OZJ85" s="268"/>
      <c r="OZK85" s="267"/>
      <c r="OZL85" s="268"/>
      <c r="OZM85" s="267"/>
      <c r="OZN85" s="268"/>
      <c r="OZO85" s="267"/>
      <c r="OZP85" s="268"/>
      <c r="OZQ85" s="267"/>
      <c r="OZR85" s="268"/>
      <c r="OZS85" s="267"/>
      <c r="OZT85" s="268"/>
      <c r="OZU85" s="267"/>
      <c r="OZV85" s="268"/>
      <c r="OZW85" s="267"/>
      <c r="OZX85" s="268"/>
      <c r="OZY85" s="267"/>
      <c r="OZZ85" s="268"/>
      <c r="PAA85" s="267"/>
      <c r="PAB85" s="268"/>
      <c r="PAC85" s="267"/>
      <c r="PAD85" s="268"/>
      <c r="PAE85" s="267"/>
      <c r="PAF85" s="268"/>
      <c r="PAG85" s="267"/>
      <c r="PAH85" s="268"/>
      <c r="PAI85" s="267"/>
      <c r="PAJ85" s="268"/>
      <c r="PAK85" s="267"/>
      <c r="PAL85" s="268"/>
      <c r="PAM85" s="267"/>
      <c r="PAN85" s="268"/>
      <c r="PAO85" s="267"/>
      <c r="PAP85" s="268"/>
      <c r="PAQ85" s="267"/>
      <c r="PAR85" s="268"/>
      <c r="PAS85" s="267"/>
      <c r="PAT85" s="268"/>
      <c r="PAU85" s="267"/>
      <c r="PAV85" s="268"/>
      <c r="PAW85" s="267"/>
      <c r="PAX85" s="268"/>
      <c r="PAY85" s="267"/>
      <c r="PAZ85" s="268"/>
      <c r="PBA85" s="267"/>
      <c r="PBB85" s="268"/>
      <c r="PBC85" s="267"/>
      <c r="PBD85" s="268"/>
      <c r="PBE85" s="267"/>
      <c r="PBF85" s="268"/>
      <c r="PBG85" s="267"/>
      <c r="PBH85" s="268"/>
      <c r="PBI85" s="267"/>
      <c r="PBJ85" s="268"/>
      <c r="PBK85" s="267"/>
      <c r="PBL85" s="268"/>
      <c r="PBM85" s="267"/>
      <c r="PBN85" s="268"/>
      <c r="PBO85" s="267"/>
      <c r="PBP85" s="268"/>
      <c r="PBQ85" s="267"/>
      <c r="PBR85" s="268"/>
      <c r="PBS85" s="267"/>
      <c r="PBT85" s="268"/>
      <c r="PBU85" s="267"/>
      <c r="PBV85" s="268"/>
      <c r="PBW85" s="267"/>
      <c r="PBX85" s="268"/>
      <c r="PBY85" s="267"/>
      <c r="PBZ85" s="268"/>
      <c r="PCA85" s="267"/>
      <c r="PCB85" s="268"/>
      <c r="PCC85" s="267"/>
      <c r="PCD85" s="268"/>
      <c r="PCE85" s="267"/>
      <c r="PCF85" s="268"/>
      <c r="PCG85" s="267"/>
      <c r="PCH85" s="268"/>
      <c r="PCI85" s="267"/>
      <c r="PCJ85" s="268"/>
      <c r="PCK85" s="267"/>
      <c r="PCL85" s="268"/>
      <c r="PCM85" s="267"/>
      <c r="PCN85" s="268"/>
      <c r="PCO85" s="267"/>
      <c r="PCP85" s="268"/>
      <c r="PCQ85" s="267"/>
      <c r="PCR85" s="268"/>
      <c r="PCS85" s="267"/>
      <c r="PCT85" s="268"/>
      <c r="PCU85" s="267"/>
      <c r="PCV85" s="268"/>
      <c r="PCW85" s="267"/>
      <c r="PCX85" s="268"/>
      <c r="PCY85" s="267"/>
      <c r="PCZ85" s="268"/>
      <c r="PDA85" s="267"/>
      <c r="PDB85" s="268"/>
      <c r="PDC85" s="267"/>
      <c r="PDD85" s="268"/>
      <c r="PDE85" s="267"/>
      <c r="PDF85" s="268"/>
      <c r="PDG85" s="267"/>
      <c r="PDH85" s="268"/>
      <c r="PDI85" s="267"/>
      <c r="PDJ85" s="268"/>
      <c r="PDK85" s="267"/>
      <c r="PDL85" s="268"/>
      <c r="PDM85" s="267"/>
      <c r="PDN85" s="268"/>
      <c r="PDO85" s="267"/>
      <c r="PDP85" s="268"/>
      <c r="PDQ85" s="267"/>
      <c r="PDR85" s="268"/>
      <c r="PDS85" s="267"/>
      <c r="PDT85" s="268"/>
      <c r="PDU85" s="267"/>
      <c r="PDV85" s="268"/>
      <c r="PDW85" s="267"/>
      <c r="PDX85" s="268"/>
      <c r="PDY85" s="267"/>
      <c r="PDZ85" s="268"/>
      <c r="PEA85" s="267"/>
      <c r="PEB85" s="268"/>
      <c r="PEC85" s="267"/>
      <c r="PED85" s="268"/>
      <c r="PEE85" s="267"/>
      <c r="PEF85" s="268"/>
      <c r="PEG85" s="267"/>
      <c r="PEH85" s="268"/>
      <c r="PEI85" s="267"/>
      <c r="PEJ85" s="268"/>
      <c r="PEK85" s="267"/>
      <c r="PEL85" s="268"/>
      <c r="PEM85" s="267"/>
      <c r="PEN85" s="268"/>
      <c r="PEO85" s="267"/>
      <c r="PEP85" s="268"/>
      <c r="PEQ85" s="267"/>
      <c r="PER85" s="268"/>
      <c r="PES85" s="267"/>
      <c r="PET85" s="268"/>
      <c r="PEU85" s="267"/>
      <c r="PEV85" s="268"/>
      <c r="PEW85" s="267"/>
      <c r="PEX85" s="268"/>
      <c r="PEY85" s="267"/>
      <c r="PEZ85" s="268"/>
      <c r="PFA85" s="267"/>
      <c r="PFB85" s="268"/>
      <c r="PFC85" s="267"/>
      <c r="PFD85" s="268"/>
      <c r="PFE85" s="267"/>
      <c r="PFF85" s="268"/>
      <c r="PFG85" s="267"/>
      <c r="PFH85" s="268"/>
      <c r="PFI85" s="267"/>
      <c r="PFJ85" s="268"/>
      <c r="PFK85" s="267"/>
      <c r="PFL85" s="268"/>
      <c r="PFM85" s="267"/>
      <c r="PFN85" s="268"/>
      <c r="PFO85" s="267"/>
      <c r="PFP85" s="268"/>
      <c r="PFQ85" s="267"/>
      <c r="PFR85" s="268"/>
      <c r="PFS85" s="267"/>
      <c r="PFT85" s="268"/>
      <c r="PFU85" s="267"/>
      <c r="PFV85" s="268"/>
      <c r="PFW85" s="267"/>
      <c r="PFX85" s="268"/>
      <c r="PFY85" s="267"/>
      <c r="PFZ85" s="268"/>
      <c r="PGA85" s="267"/>
      <c r="PGB85" s="268"/>
      <c r="PGC85" s="267"/>
      <c r="PGD85" s="268"/>
      <c r="PGE85" s="267"/>
      <c r="PGF85" s="268"/>
      <c r="PGG85" s="267"/>
      <c r="PGH85" s="268"/>
      <c r="PGI85" s="267"/>
      <c r="PGJ85" s="268"/>
      <c r="PGK85" s="267"/>
      <c r="PGL85" s="268"/>
      <c r="PGM85" s="267"/>
      <c r="PGN85" s="268"/>
      <c r="PGO85" s="267"/>
      <c r="PGP85" s="268"/>
      <c r="PGQ85" s="267"/>
      <c r="PGR85" s="268"/>
      <c r="PGS85" s="267"/>
      <c r="PGT85" s="268"/>
      <c r="PGU85" s="267"/>
      <c r="PGV85" s="268"/>
      <c r="PGW85" s="267"/>
      <c r="PGX85" s="268"/>
      <c r="PGY85" s="267"/>
      <c r="PGZ85" s="268"/>
      <c r="PHA85" s="267"/>
      <c r="PHB85" s="268"/>
      <c r="PHC85" s="267"/>
      <c r="PHD85" s="268"/>
      <c r="PHE85" s="267"/>
      <c r="PHF85" s="268"/>
      <c r="PHG85" s="267"/>
      <c r="PHH85" s="268"/>
      <c r="PHI85" s="267"/>
      <c r="PHJ85" s="268"/>
      <c r="PHK85" s="267"/>
      <c r="PHL85" s="268"/>
      <c r="PHM85" s="267"/>
      <c r="PHN85" s="268"/>
      <c r="PHO85" s="267"/>
      <c r="PHP85" s="268"/>
      <c r="PHQ85" s="267"/>
      <c r="PHR85" s="268"/>
      <c r="PHS85" s="267"/>
      <c r="PHT85" s="268"/>
      <c r="PHU85" s="267"/>
      <c r="PHV85" s="268"/>
      <c r="PHW85" s="267"/>
      <c r="PHX85" s="268"/>
      <c r="PHY85" s="267"/>
      <c r="PHZ85" s="268"/>
      <c r="PIA85" s="267"/>
      <c r="PIB85" s="268"/>
      <c r="PIC85" s="267"/>
      <c r="PID85" s="268"/>
      <c r="PIE85" s="267"/>
      <c r="PIF85" s="268"/>
      <c r="PIG85" s="267"/>
      <c r="PIH85" s="268"/>
      <c r="PII85" s="267"/>
      <c r="PIJ85" s="268"/>
      <c r="PIK85" s="267"/>
      <c r="PIL85" s="268"/>
      <c r="PIM85" s="267"/>
      <c r="PIN85" s="268"/>
      <c r="PIO85" s="267"/>
      <c r="PIP85" s="268"/>
      <c r="PIQ85" s="267"/>
      <c r="PIR85" s="268"/>
      <c r="PIS85" s="267"/>
      <c r="PIT85" s="268"/>
      <c r="PIU85" s="267"/>
      <c r="PIV85" s="268"/>
      <c r="PIW85" s="267"/>
      <c r="PIX85" s="268"/>
      <c r="PIY85" s="267"/>
      <c r="PIZ85" s="268"/>
      <c r="PJA85" s="267"/>
      <c r="PJB85" s="268"/>
      <c r="PJC85" s="267"/>
      <c r="PJD85" s="268"/>
      <c r="PJE85" s="267"/>
      <c r="PJF85" s="268"/>
      <c r="PJG85" s="267"/>
      <c r="PJH85" s="268"/>
      <c r="PJI85" s="267"/>
      <c r="PJJ85" s="268"/>
      <c r="PJK85" s="267"/>
      <c r="PJL85" s="268"/>
      <c r="PJM85" s="267"/>
      <c r="PJN85" s="268"/>
      <c r="PJO85" s="267"/>
      <c r="PJP85" s="268"/>
      <c r="PJQ85" s="267"/>
      <c r="PJR85" s="268"/>
      <c r="PJS85" s="267"/>
      <c r="PJT85" s="268"/>
      <c r="PJU85" s="267"/>
      <c r="PJV85" s="268"/>
      <c r="PJW85" s="267"/>
      <c r="PJX85" s="268"/>
      <c r="PJY85" s="267"/>
      <c r="PJZ85" s="268"/>
      <c r="PKA85" s="267"/>
      <c r="PKB85" s="268"/>
      <c r="PKC85" s="267"/>
      <c r="PKD85" s="268"/>
      <c r="PKE85" s="267"/>
      <c r="PKF85" s="268"/>
      <c r="PKG85" s="267"/>
      <c r="PKH85" s="268"/>
      <c r="PKI85" s="267"/>
      <c r="PKJ85" s="268"/>
      <c r="PKK85" s="267"/>
      <c r="PKL85" s="268"/>
      <c r="PKM85" s="267"/>
      <c r="PKN85" s="268"/>
      <c r="PKO85" s="267"/>
      <c r="PKP85" s="268"/>
      <c r="PKQ85" s="267"/>
      <c r="PKR85" s="268"/>
      <c r="PKS85" s="267"/>
      <c r="PKT85" s="268"/>
      <c r="PKU85" s="267"/>
      <c r="PKV85" s="268"/>
      <c r="PKW85" s="267"/>
      <c r="PKX85" s="268"/>
      <c r="PKY85" s="267"/>
      <c r="PKZ85" s="268"/>
      <c r="PLA85" s="267"/>
      <c r="PLB85" s="268"/>
      <c r="PLC85" s="267"/>
      <c r="PLD85" s="268"/>
      <c r="PLE85" s="267"/>
      <c r="PLF85" s="268"/>
      <c r="PLG85" s="267"/>
      <c r="PLH85" s="268"/>
      <c r="PLI85" s="267"/>
      <c r="PLJ85" s="268"/>
      <c r="PLK85" s="267"/>
      <c r="PLL85" s="268"/>
      <c r="PLM85" s="267"/>
      <c r="PLN85" s="268"/>
      <c r="PLO85" s="267"/>
      <c r="PLP85" s="268"/>
      <c r="PLQ85" s="267"/>
      <c r="PLR85" s="268"/>
      <c r="PLS85" s="267"/>
      <c r="PLT85" s="268"/>
      <c r="PLU85" s="267"/>
      <c r="PLV85" s="268"/>
      <c r="PLW85" s="267"/>
      <c r="PLX85" s="268"/>
      <c r="PLY85" s="267"/>
      <c r="PLZ85" s="268"/>
      <c r="PMA85" s="267"/>
      <c r="PMB85" s="268"/>
      <c r="PMC85" s="267"/>
      <c r="PMD85" s="268"/>
      <c r="PME85" s="267"/>
      <c r="PMF85" s="268"/>
      <c r="PMG85" s="267"/>
      <c r="PMH85" s="268"/>
      <c r="PMI85" s="267"/>
      <c r="PMJ85" s="268"/>
      <c r="PMK85" s="267"/>
      <c r="PML85" s="268"/>
      <c r="PMM85" s="267"/>
      <c r="PMN85" s="268"/>
      <c r="PMO85" s="267"/>
      <c r="PMP85" s="268"/>
      <c r="PMQ85" s="267"/>
      <c r="PMR85" s="268"/>
      <c r="PMS85" s="267"/>
      <c r="PMT85" s="268"/>
      <c r="PMU85" s="267"/>
      <c r="PMV85" s="268"/>
      <c r="PMW85" s="267"/>
      <c r="PMX85" s="268"/>
      <c r="PMY85" s="267"/>
      <c r="PMZ85" s="268"/>
      <c r="PNA85" s="267"/>
      <c r="PNB85" s="268"/>
      <c r="PNC85" s="267"/>
      <c r="PND85" s="268"/>
      <c r="PNE85" s="267"/>
      <c r="PNF85" s="268"/>
      <c r="PNG85" s="267"/>
      <c r="PNH85" s="268"/>
      <c r="PNI85" s="267"/>
      <c r="PNJ85" s="268"/>
      <c r="PNK85" s="267"/>
      <c r="PNL85" s="268"/>
      <c r="PNM85" s="267"/>
      <c r="PNN85" s="268"/>
      <c r="PNO85" s="267"/>
      <c r="PNP85" s="268"/>
      <c r="PNQ85" s="267"/>
      <c r="PNR85" s="268"/>
      <c r="PNS85" s="267"/>
      <c r="PNT85" s="268"/>
      <c r="PNU85" s="267"/>
      <c r="PNV85" s="268"/>
      <c r="PNW85" s="267"/>
      <c r="PNX85" s="268"/>
      <c r="PNY85" s="267"/>
      <c r="PNZ85" s="268"/>
      <c r="POA85" s="267"/>
      <c r="POB85" s="268"/>
      <c r="POC85" s="267"/>
      <c r="POD85" s="268"/>
      <c r="POE85" s="267"/>
      <c r="POF85" s="268"/>
      <c r="POG85" s="267"/>
      <c r="POH85" s="268"/>
      <c r="POI85" s="267"/>
      <c r="POJ85" s="268"/>
      <c r="POK85" s="267"/>
      <c r="POL85" s="268"/>
      <c r="POM85" s="267"/>
      <c r="PON85" s="268"/>
      <c r="POO85" s="267"/>
      <c r="POP85" s="268"/>
      <c r="POQ85" s="267"/>
      <c r="POR85" s="268"/>
      <c r="POS85" s="267"/>
      <c r="POT85" s="268"/>
      <c r="POU85" s="267"/>
      <c r="POV85" s="268"/>
      <c r="POW85" s="267"/>
      <c r="POX85" s="268"/>
      <c r="POY85" s="267"/>
      <c r="POZ85" s="268"/>
      <c r="PPA85" s="267"/>
      <c r="PPB85" s="268"/>
      <c r="PPC85" s="267"/>
      <c r="PPD85" s="268"/>
      <c r="PPE85" s="267"/>
      <c r="PPF85" s="268"/>
      <c r="PPG85" s="267"/>
      <c r="PPH85" s="268"/>
      <c r="PPI85" s="267"/>
      <c r="PPJ85" s="268"/>
      <c r="PPK85" s="267"/>
      <c r="PPL85" s="268"/>
      <c r="PPM85" s="267"/>
      <c r="PPN85" s="268"/>
      <c r="PPO85" s="267"/>
      <c r="PPP85" s="268"/>
      <c r="PPQ85" s="267"/>
      <c r="PPR85" s="268"/>
      <c r="PPS85" s="267"/>
      <c r="PPT85" s="268"/>
      <c r="PPU85" s="267"/>
      <c r="PPV85" s="268"/>
      <c r="PPW85" s="267"/>
      <c r="PPX85" s="268"/>
      <c r="PPY85" s="267"/>
      <c r="PPZ85" s="268"/>
      <c r="PQA85" s="267"/>
      <c r="PQB85" s="268"/>
      <c r="PQC85" s="267"/>
      <c r="PQD85" s="268"/>
      <c r="PQE85" s="267"/>
      <c r="PQF85" s="268"/>
      <c r="PQG85" s="267"/>
      <c r="PQH85" s="268"/>
      <c r="PQI85" s="267"/>
      <c r="PQJ85" s="268"/>
      <c r="PQK85" s="267"/>
      <c r="PQL85" s="268"/>
      <c r="PQM85" s="267"/>
      <c r="PQN85" s="268"/>
      <c r="PQO85" s="267"/>
      <c r="PQP85" s="268"/>
      <c r="PQQ85" s="267"/>
      <c r="PQR85" s="268"/>
      <c r="PQS85" s="267"/>
      <c r="PQT85" s="268"/>
      <c r="PQU85" s="267"/>
      <c r="PQV85" s="268"/>
      <c r="PQW85" s="267"/>
      <c r="PQX85" s="268"/>
      <c r="PQY85" s="267"/>
      <c r="PQZ85" s="268"/>
      <c r="PRA85" s="267"/>
      <c r="PRB85" s="268"/>
      <c r="PRC85" s="267"/>
      <c r="PRD85" s="268"/>
      <c r="PRE85" s="267"/>
      <c r="PRF85" s="268"/>
      <c r="PRG85" s="267"/>
      <c r="PRH85" s="268"/>
      <c r="PRI85" s="267"/>
      <c r="PRJ85" s="268"/>
      <c r="PRK85" s="267"/>
      <c r="PRL85" s="268"/>
      <c r="PRM85" s="267"/>
      <c r="PRN85" s="268"/>
      <c r="PRO85" s="267"/>
      <c r="PRP85" s="268"/>
      <c r="PRQ85" s="267"/>
      <c r="PRR85" s="268"/>
      <c r="PRS85" s="267"/>
      <c r="PRT85" s="268"/>
      <c r="PRU85" s="267"/>
      <c r="PRV85" s="268"/>
      <c r="PRW85" s="267"/>
      <c r="PRX85" s="268"/>
      <c r="PRY85" s="267"/>
      <c r="PRZ85" s="268"/>
      <c r="PSA85" s="267"/>
      <c r="PSB85" s="268"/>
      <c r="PSC85" s="267"/>
      <c r="PSD85" s="268"/>
      <c r="PSE85" s="267"/>
      <c r="PSF85" s="268"/>
      <c r="PSG85" s="267"/>
      <c r="PSH85" s="268"/>
      <c r="PSI85" s="267"/>
      <c r="PSJ85" s="268"/>
      <c r="PSK85" s="267"/>
      <c r="PSL85" s="268"/>
      <c r="PSM85" s="267"/>
      <c r="PSN85" s="268"/>
      <c r="PSO85" s="267"/>
      <c r="PSP85" s="268"/>
      <c r="PSQ85" s="267"/>
      <c r="PSR85" s="268"/>
      <c r="PSS85" s="267"/>
      <c r="PST85" s="268"/>
      <c r="PSU85" s="267"/>
      <c r="PSV85" s="268"/>
      <c r="PSW85" s="267"/>
      <c r="PSX85" s="268"/>
      <c r="PSY85" s="267"/>
      <c r="PSZ85" s="268"/>
      <c r="PTA85" s="267"/>
      <c r="PTB85" s="268"/>
      <c r="PTC85" s="267"/>
      <c r="PTD85" s="268"/>
      <c r="PTE85" s="267"/>
      <c r="PTF85" s="268"/>
      <c r="PTG85" s="267"/>
      <c r="PTH85" s="268"/>
      <c r="PTI85" s="267"/>
      <c r="PTJ85" s="268"/>
      <c r="PTK85" s="267"/>
      <c r="PTL85" s="268"/>
      <c r="PTM85" s="267"/>
      <c r="PTN85" s="268"/>
      <c r="PTO85" s="267"/>
      <c r="PTP85" s="268"/>
      <c r="PTQ85" s="267"/>
      <c r="PTR85" s="268"/>
      <c r="PTS85" s="267"/>
      <c r="PTT85" s="268"/>
      <c r="PTU85" s="267"/>
      <c r="PTV85" s="268"/>
      <c r="PTW85" s="267"/>
      <c r="PTX85" s="268"/>
      <c r="PTY85" s="267"/>
      <c r="PTZ85" s="268"/>
      <c r="PUA85" s="267"/>
      <c r="PUB85" s="268"/>
      <c r="PUC85" s="267"/>
      <c r="PUD85" s="268"/>
      <c r="PUE85" s="267"/>
      <c r="PUF85" s="268"/>
      <c r="PUG85" s="267"/>
      <c r="PUH85" s="268"/>
      <c r="PUI85" s="267"/>
      <c r="PUJ85" s="268"/>
      <c r="PUK85" s="267"/>
      <c r="PUL85" s="268"/>
      <c r="PUM85" s="267"/>
      <c r="PUN85" s="268"/>
      <c r="PUO85" s="267"/>
      <c r="PUP85" s="268"/>
      <c r="PUQ85" s="267"/>
      <c r="PUR85" s="268"/>
      <c r="PUS85" s="267"/>
      <c r="PUT85" s="268"/>
      <c r="PUU85" s="267"/>
      <c r="PUV85" s="268"/>
      <c r="PUW85" s="267"/>
      <c r="PUX85" s="268"/>
      <c r="PUY85" s="267"/>
      <c r="PUZ85" s="268"/>
      <c r="PVA85" s="267"/>
      <c r="PVB85" s="268"/>
      <c r="PVC85" s="267"/>
      <c r="PVD85" s="268"/>
      <c r="PVE85" s="267"/>
      <c r="PVF85" s="268"/>
      <c r="PVG85" s="267"/>
      <c r="PVH85" s="268"/>
      <c r="PVI85" s="267"/>
      <c r="PVJ85" s="268"/>
      <c r="PVK85" s="267"/>
      <c r="PVL85" s="268"/>
      <c r="PVM85" s="267"/>
      <c r="PVN85" s="268"/>
      <c r="PVO85" s="267"/>
      <c r="PVP85" s="268"/>
      <c r="PVQ85" s="267"/>
      <c r="PVR85" s="268"/>
      <c r="PVS85" s="267"/>
      <c r="PVT85" s="268"/>
      <c r="PVU85" s="267"/>
      <c r="PVV85" s="268"/>
      <c r="PVW85" s="267"/>
      <c r="PVX85" s="268"/>
      <c r="PVY85" s="267"/>
      <c r="PVZ85" s="268"/>
      <c r="PWA85" s="267"/>
      <c r="PWB85" s="268"/>
      <c r="PWC85" s="267"/>
      <c r="PWD85" s="268"/>
      <c r="PWE85" s="267"/>
      <c r="PWF85" s="268"/>
      <c r="PWG85" s="267"/>
      <c r="PWH85" s="268"/>
      <c r="PWI85" s="267"/>
      <c r="PWJ85" s="268"/>
      <c r="PWK85" s="267"/>
      <c r="PWL85" s="268"/>
      <c r="PWM85" s="267"/>
      <c r="PWN85" s="268"/>
      <c r="PWO85" s="267"/>
      <c r="PWP85" s="268"/>
      <c r="PWQ85" s="267"/>
      <c r="PWR85" s="268"/>
      <c r="PWS85" s="267"/>
      <c r="PWT85" s="268"/>
      <c r="PWU85" s="267"/>
      <c r="PWV85" s="268"/>
      <c r="PWW85" s="267"/>
      <c r="PWX85" s="268"/>
      <c r="PWY85" s="267"/>
      <c r="PWZ85" s="268"/>
      <c r="PXA85" s="267"/>
      <c r="PXB85" s="268"/>
      <c r="PXC85" s="267"/>
      <c r="PXD85" s="268"/>
      <c r="PXE85" s="267"/>
      <c r="PXF85" s="268"/>
      <c r="PXG85" s="267"/>
      <c r="PXH85" s="268"/>
      <c r="PXI85" s="267"/>
      <c r="PXJ85" s="268"/>
      <c r="PXK85" s="267"/>
      <c r="PXL85" s="268"/>
      <c r="PXM85" s="267"/>
      <c r="PXN85" s="268"/>
      <c r="PXO85" s="267"/>
      <c r="PXP85" s="268"/>
      <c r="PXQ85" s="267"/>
      <c r="PXR85" s="268"/>
      <c r="PXS85" s="267"/>
      <c r="PXT85" s="268"/>
      <c r="PXU85" s="267"/>
      <c r="PXV85" s="268"/>
      <c r="PXW85" s="267"/>
      <c r="PXX85" s="268"/>
      <c r="PXY85" s="267"/>
      <c r="PXZ85" s="268"/>
      <c r="PYA85" s="267"/>
      <c r="PYB85" s="268"/>
      <c r="PYC85" s="267"/>
      <c r="PYD85" s="268"/>
      <c r="PYE85" s="267"/>
      <c r="PYF85" s="268"/>
      <c r="PYG85" s="267"/>
      <c r="PYH85" s="268"/>
      <c r="PYI85" s="267"/>
      <c r="PYJ85" s="268"/>
      <c r="PYK85" s="267"/>
      <c r="PYL85" s="268"/>
      <c r="PYM85" s="267"/>
      <c r="PYN85" s="268"/>
      <c r="PYO85" s="267"/>
      <c r="PYP85" s="268"/>
      <c r="PYQ85" s="267"/>
      <c r="PYR85" s="268"/>
      <c r="PYS85" s="267"/>
      <c r="PYT85" s="268"/>
      <c r="PYU85" s="267"/>
      <c r="PYV85" s="268"/>
      <c r="PYW85" s="267"/>
      <c r="PYX85" s="268"/>
      <c r="PYY85" s="267"/>
      <c r="PYZ85" s="268"/>
      <c r="PZA85" s="267"/>
      <c r="PZB85" s="268"/>
      <c r="PZC85" s="267"/>
      <c r="PZD85" s="268"/>
      <c r="PZE85" s="267"/>
      <c r="PZF85" s="268"/>
      <c r="PZG85" s="267"/>
      <c r="PZH85" s="268"/>
      <c r="PZI85" s="267"/>
      <c r="PZJ85" s="268"/>
      <c r="PZK85" s="267"/>
      <c r="PZL85" s="268"/>
      <c r="PZM85" s="267"/>
      <c r="PZN85" s="268"/>
      <c r="PZO85" s="267"/>
      <c r="PZP85" s="268"/>
      <c r="PZQ85" s="267"/>
      <c r="PZR85" s="268"/>
      <c r="PZS85" s="267"/>
      <c r="PZT85" s="268"/>
      <c r="PZU85" s="267"/>
      <c r="PZV85" s="268"/>
      <c r="PZW85" s="267"/>
      <c r="PZX85" s="268"/>
      <c r="PZY85" s="267"/>
      <c r="PZZ85" s="268"/>
      <c r="QAA85" s="267"/>
      <c r="QAB85" s="268"/>
      <c r="QAC85" s="267"/>
      <c r="QAD85" s="268"/>
      <c r="QAE85" s="267"/>
      <c r="QAF85" s="268"/>
      <c r="QAG85" s="267"/>
      <c r="QAH85" s="268"/>
      <c r="QAI85" s="267"/>
      <c r="QAJ85" s="268"/>
      <c r="QAK85" s="267"/>
      <c r="QAL85" s="268"/>
      <c r="QAM85" s="267"/>
      <c r="QAN85" s="268"/>
      <c r="QAO85" s="267"/>
      <c r="QAP85" s="268"/>
      <c r="QAQ85" s="267"/>
      <c r="QAR85" s="268"/>
      <c r="QAS85" s="267"/>
      <c r="QAT85" s="268"/>
      <c r="QAU85" s="267"/>
      <c r="QAV85" s="268"/>
      <c r="QAW85" s="267"/>
      <c r="QAX85" s="268"/>
      <c r="QAY85" s="267"/>
      <c r="QAZ85" s="268"/>
      <c r="QBA85" s="267"/>
      <c r="QBB85" s="268"/>
      <c r="QBC85" s="267"/>
      <c r="QBD85" s="268"/>
      <c r="QBE85" s="267"/>
      <c r="QBF85" s="268"/>
      <c r="QBG85" s="267"/>
      <c r="QBH85" s="268"/>
      <c r="QBI85" s="267"/>
      <c r="QBJ85" s="268"/>
      <c r="QBK85" s="267"/>
      <c r="QBL85" s="268"/>
      <c r="QBM85" s="267"/>
      <c r="QBN85" s="268"/>
      <c r="QBO85" s="267"/>
      <c r="QBP85" s="268"/>
      <c r="QBQ85" s="267"/>
      <c r="QBR85" s="268"/>
      <c r="QBS85" s="267"/>
      <c r="QBT85" s="268"/>
      <c r="QBU85" s="267"/>
      <c r="QBV85" s="268"/>
      <c r="QBW85" s="267"/>
      <c r="QBX85" s="268"/>
      <c r="QBY85" s="267"/>
      <c r="QBZ85" s="268"/>
      <c r="QCA85" s="267"/>
      <c r="QCB85" s="268"/>
      <c r="QCC85" s="267"/>
      <c r="QCD85" s="268"/>
      <c r="QCE85" s="267"/>
      <c r="QCF85" s="268"/>
      <c r="QCG85" s="267"/>
      <c r="QCH85" s="268"/>
      <c r="QCI85" s="267"/>
      <c r="QCJ85" s="268"/>
      <c r="QCK85" s="267"/>
      <c r="QCL85" s="268"/>
      <c r="QCM85" s="267"/>
      <c r="QCN85" s="268"/>
      <c r="QCO85" s="267"/>
      <c r="QCP85" s="268"/>
      <c r="QCQ85" s="267"/>
      <c r="QCR85" s="268"/>
      <c r="QCS85" s="267"/>
      <c r="QCT85" s="268"/>
      <c r="QCU85" s="267"/>
      <c r="QCV85" s="268"/>
      <c r="QCW85" s="267"/>
      <c r="QCX85" s="268"/>
      <c r="QCY85" s="267"/>
      <c r="QCZ85" s="268"/>
      <c r="QDA85" s="267"/>
      <c r="QDB85" s="268"/>
      <c r="QDC85" s="267"/>
      <c r="QDD85" s="268"/>
      <c r="QDE85" s="267"/>
      <c r="QDF85" s="268"/>
      <c r="QDG85" s="267"/>
      <c r="QDH85" s="268"/>
      <c r="QDI85" s="267"/>
      <c r="QDJ85" s="268"/>
      <c r="QDK85" s="267"/>
      <c r="QDL85" s="268"/>
      <c r="QDM85" s="267"/>
      <c r="QDN85" s="268"/>
      <c r="QDO85" s="267"/>
      <c r="QDP85" s="268"/>
      <c r="QDQ85" s="267"/>
      <c r="QDR85" s="268"/>
      <c r="QDS85" s="267"/>
      <c r="QDT85" s="268"/>
      <c r="QDU85" s="267"/>
      <c r="QDV85" s="268"/>
      <c r="QDW85" s="267"/>
      <c r="QDX85" s="268"/>
      <c r="QDY85" s="267"/>
      <c r="QDZ85" s="268"/>
      <c r="QEA85" s="267"/>
      <c r="QEB85" s="268"/>
      <c r="QEC85" s="267"/>
      <c r="QED85" s="268"/>
      <c r="QEE85" s="267"/>
      <c r="QEF85" s="268"/>
      <c r="QEG85" s="267"/>
      <c r="QEH85" s="268"/>
      <c r="QEI85" s="267"/>
      <c r="QEJ85" s="268"/>
      <c r="QEK85" s="267"/>
      <c r="QEL85" s="268"/>
      <c r="QEM85" s="267"/>
      <c r="QEN85" s="268"/>
      <c r="QEO85" s="267"/>
      <c r="QEP85" s="268"/>
      <c r="QEQ85" s="267"/>
      <c r="QER85" s="268"/>
      <c r="QES85" s="267"/>
      <c r="QET85" s="268"/>
      <c r="QEU85" s="267"/>
      <c r="QEV85" s="268"/>
      <c r="QEW85" s="267"/>
      <c r="QEX85" s="268"/>
      <c r="QEY85" s="267"/>
      <c r="QEZ85" s="268"/>
      <c r="QFA85" s="267"/>
      <c r="QFB85" s="268"/>
      <c r="QFC85" s="267"/>
      <c r="QFD85" s="268"/>
      <c r="QFE85" s="267"/>
      <c r="QFF85" s="268"/>
      <c r="QFG85" s="267"/>
      <c r="QFH85" s="268"/>
      <c r="QFI85" s="267"/>
      <c r="QFJ85" s="268"/>
      <c r="QFK85" s="267"/>
      <c r="QFL85" s="268"/>
      <c r="QFM85" s="267"/>
      <c r="QFN85" s="268"/>
      <c r="QFO85" s="267"/>
      <c r="QFP85" s="268"/>
      <c r="QFQ85" s="267"/>
      <c r="QFR85" s="268"/>
      <c r="QFS85" s="267"/>
      <c r="QFT85" s="268"/>
      <c r="QFU85" s="267"/>
      <c r="QFV85" s="268"/>
      <c r="QFW85" s="267"/>
      <c r="QFX85" s="268"/>
      <c r="QFY85" s="267"/>
      <c r="QFZ85" s="268"/>
      <c r="QGA85" s="267"/>
      <c r="QGB85" s="268"/>
      <c r="QGC85" s="267"/>
      <c r="QGD85" s="268"/>
      <c r="QGE85" s="267"/>
      <c r="QGF85" s="268"/>
      <c r="QGG85" s="267"/>
      <c r="QGH85" s="268"/>
      <c r="QGI85" s="267"/>
      <c r="QGJ85" s="268"/>
      <c r="QGK85" s="267"/>
      <c r="QGL85" s="268"/>
      <c r="QGM85" s="267"/>
      <c r="QGN85" s="268"/>
      <c r="QGO85" s="267"/>
      <c r="QGP85" s="268"/>
      <c r="QGQ85" s="267"/>
      <c r="QGR85" s="268"/>
      <c r="QGS85" s="267"/>
      <c r="QGT85" s="268"/>
      <c r="QGU85" s="267"/>
      <c r="QGV85" s="268"/>
      <c r="QGW85" s="267"/>
      <c r="QGX85" s="268"/>
      <c r="QGY85" s="267"/>
      <c r="QGZ85" s="268"/>
      <c r="QHA85" s="267"/>
      <c r="QHB85" s="268"/>
      <c r="QHC85" s="267"/>
      <c r="QHD85" s="268"/>
      <c r="QHE85" s="267"/>
      <c r="QHF85" s="268"/>
      <c r="QHG85" s="267"/>
      <c r="QHH85" s="268"/>
      <c r="QHI85" s="267"/>
      <c r="QHJ85" s="268"/>
      <c r="QHK85" s="267"/>
      <c r="QHL85" s="268"/>
      <c r="QHM85" s="267"/>
      <c r="QHN85" s="268"/>
      <c r="QHO85" s="267"/>
      <c r="QHP85" s="268"/>
      <c r="QHQ85" s="267"/>
      <c r="QHR85" s="268"/>
      <c r="QHS85" s="267"/>
      <c r="QHT85" s="268"/>
      <c r="QHU85" s="267"/>
      <c r="QHV85" s="268"/>
      <c r="QHW85" s="267"/>
      <c r="QHX85" s="268"/>
      <c r="QHY85" s="267"/>
      <c r="QHZ85" s="268"/>
      <c r="QIA85" s="267"/>
      <c r="QIB85" s="268"/>
      <c r="QIC85" s="267"/>
      <c r="QID85" s="268"/>
      <c r="QIE85" s="267"/>
      <c r="QIF85" s="268"/>
      <c r="QIG85" s="267"/>
      <c r="QIH85" s="268"/>
      <c r="QII85" s="267"/>
      <c r="QIJ85" s="268"/>
      <c r="QIK85" s="267"/>
      <c r="QIL85" s="268"/>
      <c r="QIM85" s="267"/>
      <c r="QIN85" s="268"/>
      <c r="QIO85" s="267"/>
      <c r="QIP85" s="268"/>
      <c r="QIQ85" s="267"/>
      <c r="QIR85" s="268"/>
      <c r="QIS85" s="267"/>
      <c r="QIT85" s="268"/>
      <c r="QIU85" s="267"/>
      <c r="QIV85" s="268"/>
      <c r="QIW85" s="267"/>
      <c r="QIX85" s="268"/>
      <c r="QIY85" s="267"/>
      <c r="QIZ85" s="268"/>
      <c r="QJA85" s="267"/>
      <c r="QJB85" s="268"/>
      <c r="QJC85" s="267"/>
      <c r="QJD85" s="268"/>
      <c r="QJE85" s="267"/>
      <c r="QJF85" s="268"/>
      <c r="QJG85" s="267"/>
      <c r="QJH85" s="268"/>
      <c r="QJI85" s="267"/>
      <c r="QJJ85" s="268"/>
      <c r="QJK85" s="267"/>
      <c r="QJL85" s="268"/>
      <c r="QJM85" s="267"/>
      <c r="QJN85" s="268"/>
      <c r="QJO85" s="267"/>
      <c r="QJP85" s="268"/>
      <c r="QJQ85" s="267"/>
      <c r="QJR85" s="268"/>
      <c r="QJS85" s="267"/>
      <c r="QJT85" s="268"/>
      <c r="QJU85" s="267"/>
      <c r="QJV85" s="268"/>
      <c r="QJW85" s="267"/>
      <c r="QJX85" s="268"/>
      <c r="QJY85" s="267"/>
      <c r="QJZ85" s="268"/>
      <c r="QKA85" s="267"/>
      <c r="QKB85" s="268"/>
      <c r="QKC85" s="267"/>
      <c r="QKD85" s="268"/>
      <c r="QKE85" s="267"/>
      <c r="QKF85" s="268"/>
      <c r="QKG85" s="267"/>
      <c r="QKH85" s="268"/>
      <c r="QKI85" s="267"/>
      <c r="QKJ85" s="268"/>
      <c r="QKK85" s="267"/>
      <c r="QKL85" s="268"/>
      <c r="QKM85" s="267"/>
      <c r="QKN85" s="268"/>
      <c r="QKO85" s="267"/>
      <c r="QKP85" s="268"/>
      <c r="QKQ85" s="267"/>
      <c r="QKR85" s="268"/>
      <c r="QKS85" s="267"/>
      <c r="QKT85" s="268"/>
      <c r="QKU85" s="267"/>
      <c r="QKV85" s="268"/>
      <c r="QKW85" s="267"/>
      <c r="QKX85" s="268"/>
      <c r="QKY85" s="267"/>
      <c r="QKZ85" s="268"/>
      <c r="QLA85" s="267"/>
      <c r="QLB85" s="268"/>
      <c r="QLC85" s="267"/>
      <c r="QLD85" s="268"/>
      <c r="QLE85" s="267"/>
      <c r="QLF85" s="268"/>
      <c r="QLG85" s="267"/>
      <c r="QLH85" s="268"/>
      <c r="QLI85" s="267"/>
      <c r="QLJ85" s="268"/>
      <c r="QLK85" s="267"/>
      <c r="QLL85" s="268"/>
      <c r="QLM85" s="267"/>
      <c r="QLN85" s="268"/>
      <c r="QLO85" s="267"/>
      <c r="QLP85" s="268"/>
      <c r="QLQ85" s="267"/>
      <c r="QLR85" s="268"/>
      <c r="QLS85" s="267"/>
      <c r="QLT85" s="268"/>
      <c r="QLU85" s="267"/>
      <c r="QLV85" s="268"/>
      <c r="QLW85" s="267"/>
      <c r="QLX85" s="268"/>
      <c r="QLY85" s="267"/>
      <c r="QLZ85" s="268"/>
      <c r="QMA85" s="267"/>
      <c r="QMB85" s="268"/>
      <c r="QMC85" s="267"/>
      <c r="QMD85" s="268"/>
      <c r="QME85" s="267"/>
      <c r="QMF85" s="268"/>
      <c r="QMG85" s="267"/>
      <c r="QMH85" s="268"/>
      <c r="QMI85" s="267"/>
      <c r="QMJ85" s="268"/>
      <c r="QMK85" s="267"/>
      <c r="QML85" s="268"/>
      <c r="QMM85" s="267"/>
      <c r="QMN85" s="268"/>
      <c r="QMO85" s="267"/>
      <c r="QMP85" s="268"/>
      <c r="QMQ85" s="267"/>
      <c r="QMR85" s="268"/>
      <c r="QMS85" s="267"/>
      <c r="QMT85" s="268"/>
      <c r="QMU85" s="267"/>
      <c r="QMV85" s="268"/>
      <c r="QMW85" s="267"/>
      <c r="QMX85" s="268"/>
      <c r="QMY85" s="267"/>
      <c r="QMZ85" s="268"/>
      <c r="QNA85" s="267"/>
      <c r="QNB85" s="268"/>
      <c r="QNC85" s="267"/>
      <c r="QND85" s="268"/>
      <c r="QNE85" s="267"/>
      <c r="QNF85" s="268"/>
      <c r="QNG85" s="267"/>
      <c r="QNH85" s="268"/>
      <c r="QNI85" s="267"/>
      <c r="QNJ85" s="268"/>
      <c r="QNK85" s="267"/>
      <c r="QNL85" s="268"/>
      <c r="QNM85" s="267"/>
      <c r="QNN85" s="268"/>
      <c r="QNO85" s="267"/>
      <c r="QNP85" s="268"/>
      <c r="QNQ85" s="267"/>
      <c r="QNR85" s="268"/>
      <c r="QNS85" s="267"/>
      <c r="QNT85" s="268"/>
      <c r="QNU85" s="267"/>
      <c r="QNV85" s="268"/>
      <c r="QNW85" s="267"/>
      <c r="QNX85" s="268"/>
      <c r="QNY85" s="267"/>
      <c r="QNZ85" s="268"/>
      <c r="QOA85" s="267"/>
      <c r="QOB85" s="268"/>
      <c r="QOC85" s="267"/>
      <c r="QOD85" s="268"/>
      <c r="QOE85" s="267"/>
      <c r="QOF85" s="268"/>
      <c r="QOG85" s="267"/>
      <c r="QOH85" s="268"/>
      <c r="QOI85" s="267"/>
      <c r="QOJ85" s="268"/>
      <c r="QOK85" s="267"/>
      <c r="QOL85" s="268"/>
      <c r="QOM85" s="267"/>
      <c r="QON85" s="268"/>
      <c r="QOO85" s="267"/>
      <c r="QOP85" s="268"/>
      <c r="QOQ85" s="267"/>
      <c r="QOR85" s="268"/>
      <c r="QOS85" s="267"/>
      <c r="QOT85" s="268"/>
      <c r="QOU85" s="267"/>
      <c r="QOV85" s="268"/>
      <c r="QOW85" s="267"/>
      <c r="QOX85" s="268"/>
      <c r="QOY85" s="267"/>
      <c r="QOZ85" s="268"/>
      <c r="QPA85" s="267"/>
      <c r="QPB85" s="268"/>
      <c r="QPC85" s="267"/>
      <c r="QPD85" s="268"/>
      <c r="QPE85" s="267"/>
      <c r="QPF85" s="268"/>
      <c r="QPG85" s="267"/>
      <c r="QPH85" s="268"/>
      <c r="QPI85" s="267"/>
      <c r="QPJ85" s="268"/>
      <c r="QPK85" s="267"/>
      <c r="QPL85" s="268"/>
      <c r="QPM85" s="267"/>
      <c r="QPN85" s="268"/>
      <c r="QPO85" s="267"/>
      <c r="QPP85" s="268"/>
      <c r="QPQ85" s="267"/>
      <c r="QPR85" s="268"/>
      <c r="QPS85" s="267"/>
      <c r="QPT85" s="268"/>
      <c r="QPU85" s="267"/>
      <c r="QPV85" s="268"/>
      <c r="QPW85" s="267"/>
      <c r="QPX85" s="268"/>
      <c r="QPY85" s="267"/>
      <c r="QPZ85" s="268"/>
      <c r="QQA85" s="267"/>
      <c r="QQB85" s="268"/>
      <c r="QQC85" s="267"/>
      <c r="QQD85" s="268"/>
      <c r="QQE85" s="267"/>
      <c r="QQF85" s="268"/>
      <c r="QQG85" s="267"/>
      <c r="QQH85" s="268"/>
      <c r="QQI85" s="267"/>
      <c r="QQJ85" s="268"/>
      <c r="QQK85" s="267"/>
      <c r="QQL85" s="268"/>
      <c r="QQM85" s="267"/>
      <c r="QQN85" s="268"/>
      <c r="QQO85" s="267"/>
      <c r="QQP85" s="268"/>
      <c r="QQQ85" s="267"/>
      <c r="QQR85" s="268"/>
      <c r="QQS85" s="267"/>
      <c r="QQT85" s="268"/>
      <c r="QQU85" s="267"/>
      <c r="QQV85" s="268"/>
      <c r="QQW85" s="267"/>
      <c r="QQX85" s="268"/>
      <c r="QQY85" s="267"/>
      <c r="QQZ85" s="268"/>
      <c r="QRA85" s="267"/>
      <c r="QRB85" s="268"/>
      <c r="QRC85" s="267"/>
      <c r="QRD85" s="268"/>
      <c r="QRE85" s="267"/>
      <c r="QRF85" s="268"/>
      <c r="QRG85" s="267"/>
      <c r="QRH85" s="268"/>
      <c r="QRI85" s="267"/>
      <c r="QRJ85" s="268"/>
      <c r="QRK85" s="267"/>
      <c r="QRL85" s="268"/>
      <c r="QRM85" s="267"/>
      <c r="QRN85" s="268"/>
      <c r="QRO85" s="267"/>
      <c r="QRP85" s="268"/>
      <c r="QRQ85" s="267"/>
      <c r="QRR85" s="268"/>
      <c r="QRS85" s="267"/>
      <c r="QRT85" s="268"/>
      <c r="QRU85" s="267"/>
      <c r="QRV85" s="268"/>
      <c r="QRW85" s="267"/>
      <c r="QRX85" s="268"/>
      <c r="QRY85" s="267"/>
      <c r="QRZ85" s="268"/>
      <c r="QSA85" s="267"/>
      <c r="QSB85" s="268"/>
      <c r="QSC85" s="267"/>
      <c r="QSD85" s="268"/>
      <c r="QSE85" s="267"/>
      <c r="QSF85" s="268"/>
      <c r="QSG85" s="267"/>
      <c r="QSH85" s="268"/>
      <c r="QSI85" s="267"/>
      <c r="QSJ85" s="268"/>
      <c r="QSK85" s="267"/>
      <c r="QSL85" s="268"/>
      <c r="QSM85" s="267"/>
      <c r="QSN85" s="268"/>
      <c r="QSO85" s="267"/>
      <c r="QSP85" s="268"/>
      <c r="QSQ85" s="267"/>
      <c r="QSR85" s="268"/>
      <c r="QSS85" s="267"/>
      <c r="QST85" s="268"/>
      <c r="QSU85" s="267"/>
      <c r="QSV85" s="268"/>
      <c r="QSW85" s="267"/>
      <c r="QSX85" s="268"/>
      <c r="QSY85" s="267"/>
      <c r="QSZ85" s="268"/>
      <c r="QTA85" s="267"/>
      <c r="QTB85" s="268"/>
      <c r="QTC85" s="267"/>
      <c r="QTD85" s="268"/>
      <c r="QTE85" s="267"/>
      <c r="QTF85" s="268"/>
      <c r="QTG85" s="267"/>
      <c r="QTH85" s="268"/>
      <c r="QTI85" s="267"/>
      <c r="QTJ85" s="268"/>
      <c r="QTK85" s="267"/>
      <c r="QTL85" s="268"/>
      <c r="QTM85" s="267"/>
      <c r="QTN85" s="268"/>
      <c r="QTO85" s="267"/>
      <c r="QTP85" s="268"/>
      <c r="QTQ85" s="267"/>
      <c r="QTR85" s="268"/>
      <c r="QTS85" s="267"/>
      <c r="QTT85" s="268"/>
      <c r="QTU85" s="267"/>
      <c r="QTV85" s="268"/>
      <c r="QTW85" s="267"/>
      <c r="QTX85" s="268"/>
      <c r="QTY85" s="267"/>
      <c r="QTZ85" s="268"/>
      <c r="QUA85" s="267"/>
      <c r="QUB85" s="268"/>
      <c r="QUC85" s="267"/>
      <c r="QUD85" s="268"/>
      <c r="QUE85" s="267"/>
      <c r="QUF85" s="268"/>
      <c r="QUG85" s="267"/>
      <c r="QUH85" s="268"/>
      <c r="QUI85" s="267"/>
      <c r="QUJ85" s="268"/>
      <c r="QUK85" s="267"/>
      <c r="QUL85" s="268"/>
      <c r="QUM85" s="267"/>
      <c r="QUN85" s="268"/>
      <c r="QUO85" s="267"/>
      <c r="QUP85" s="268"/>
      <c r="QUQ85" s="267"/>
      <c r="QUR85" s="268"/>
      <c r="QUS85" s="267"/>
      <c r="QUT85" s="268"/>
      <c r="QUU85" s="267"/>
      <c r="QUV85" s="268"/>
      <c r="QUW85" s="267"/>
      <c r="QUX85" s="268"/>
      <c r="QUY85" s="267"/>
      <c r="QUZ85" s="268"/>
      <c r="QVA85" s="267"/>
      <c r="QVB85" s="268"/>
      <c r="QVC85" s="267"/>
      <c r="QVD85" s="268"/>
      <c r="QVE85" s="267"/>
      <c r="QVF85" s="268"/>
      <c r="QVG85" s="267"/>
      <c r="QVH85" s="268"/>
      <c r="QVI85" s="267"/>
      <c r="QVJ85" s="268"/>
      <c r="QVK85" s="267"/>
      <c r="QVL85" s="268"/>
      <c r="QVM85" s="267"/>
      <c r="QVN85" s="268"/>
      <c r="QVO85" s="267"/>
      <c r="QVP85" s="268"/>
      <c r="QVQ85" s="267"/>
      <c r="QVR85" s="268"/>
      <c r="QVS85" s="267"/>
      <c r="QVT85" s="268"/>
      <c r="QVU85" s="267"/>
      <c r="QVV85" s="268"/>
      <c r="QVW85" s="267"/>
      <c r="QVX85" s="268"/>
      <c r="QVY85" s="267"/>
      <c r="QVZ85" s="268"/>
      <c r="QWA85" s="267"/>
      <c r="QWB85" s="268"/>
      <c r="QWC85" s="267"/>
      <c r="QWD85" s="268"/>
      <c r="QWE85" s="267"/>
      <c r="QWF85" s="268"/>
      <c r="QWG85" s="267"/>
      <c r="QWH85" s="268"/>
      <c r="QWI85" s="267"/>
      <c r="QWJ85" s="268"/>
      <c r="QWK85" s="267"/>
      <c r="QWL85" s="268"/>
      <c r="QWM85" s="267"/>
      <c r="QWN85" s="268"/>
      <c r="QWO85" s="267"/>
      <c r="QWP85" s="268"/>
      <c r="QWQ85" s="267"/>
      <c r="QWR85" s="268"/>
      <c r="QWS85" s="267"/>
      <c r="QWT85" s="268"/>
      <c r="QWU85" s="267"/>
      <c r="QWV85" s="268"/>
      <c r="QWW85" s="267"/>
      <c r="QWX85" s="268"/>
      <c r="QWY85" s="267"/>
      <c r="QWZ85" s="268"/>
      <c r="QXA85" s="267"/>
      <c r="QXB85" s="268"/>
      <c r="QXC85" s="267"/>
      <c r="QXD85" s="268"/>
      <c r="QXE85" s="267"/>
      <c r="QXF85" s="268"/>
      <c r="QXG85" s="267"/>
      <c r="QXH85" s="268"/>
      <c r="QXI85" s="267"/>
      <c r="QXJ85" s="268"/>
      <c r="QXK85" s="267"/>
      <c r="QXL85" s="268"/>
      <c r="QXM85" s="267"/>
      <c r="QXN85" s="268"/>
      <c r="QXO85" s="267"/>
      <c r="QXP85" s="268"/>
      <c r="QXQ85" s="267"/>
      <c r="QXR85" s="268"/>
      <c r="QXS85" s="267"/>
      <c r="QXT85" s="268"/>
      <c r="QXU85" s="267"/>
      <c r="QXV85" s="268"/>
      <c r="QXW85" s="267"/>
      <c r="QXX85" s="268"/>
      <c r="QXY85" s="267"/>
      <c r="QXZ85" s="268"/>
      <c r="QYA85" s="267"/>
      <c r="QYB85" s="268"/>
      <c r="QYC85" s="267"/>
      <c r="QYD85" s="268"/>
      <c r="QYE85" s="267"/>
      <c r="QYF85" s="268"/>
      <c r="QYG85" s="267"/>
      <c r="QYH85" s="268"/>
      <c r="QYI85" s="267"/>
      <c r="QYJ85" s="268"/>
      <c r="QYK85" s="267"/>
      <c r="QYL85" s="268"/>
      <c r="QYM85" s="267"/>
      <c r="QYN85" s="268"/>
      <c r="QYO85" s="267"/>
      <c r="QYP85" s="268"/>
      <c r="QYQ85" s="267"/>
      <c r="QYR85" s="268"/>
      <c r="QYS85" s="267"/>
      <c r="QYT85" s="268"/>
      <c r="QYU85" s="267"/>
      <c r="QYV85" s="268"/>
      <c r="QYW85" s="267"/>
      <c r="QYX85" s="268"/>
      <c r="QYY85" s="267"/>
      <c r="QYZ85" s="268"/>
      <c r="QZA85" s="267"/>
      <c r="QZB85" s="268"/>
      <c r="QZC85" s="267"/>
      <c r="QZD85" s="268"/>
      <c r="QZE85" s="267"/>
      <c r="QZF85" s="268"/>
      <c r="QZG85" s="267"/>
      <c r="QZH85" s="268"/>
      <c r="QZI85" s="267"/>
      <c r="QZJ85" s="268"/>
      <c r="QZK85" s="267"/>
      <c r="QZL85" s="268"/>
      <c r="QZM85" s="267"/>
      <c r="QZN85" s="268"/>
      <c r="QZO85" s="267"/>
      <c r="QZP85" s="268"/>
      <c r="QZQ85" s="267"/>
      <c r="QZR85" s="268"/>
      <c r="QZS85" s="267"/>
      <c r="QZT85" s="268"/>
      <c r="QZU85" s="267"/>
      <c r="QZV85" s="268"/>
      <c r="QZW85" s="267"/>
      <c r="QZX85" s="268"/>
      <c r="QZY85" s="267"/>
      <c r="QZZ85" s="268"/>
      <c r="RAA85" s="267"/>
      <c r="RAB85" s="268"/>
      <c r="RAC85" s="267"/>
      <c r="RAD85" s="268"/>
      <c r="RAE85" s="267"/>
      <c r="RAF85" s="268"/>
      <c r="RAG85" s="267"/>
      <c r="RAH85" s="268"/>
      <c r="RAI85" s="267"/>
      <c r="RAJ85" s="268"/>
      <c r="RAK85" s="267"/>
      <c r="RAL85" s="268"/>
      <c r="RAM85" s="267"/>
      <c r="RAN85" s="268"/>
      <c r="RAO85" s="267"/>
      <c r="RAP85" s="268"/>
      <c r="RAQ85" s="267"/>
      <c r="RAR85" s="268"/>
      <c r="RAS85" s="267"/>
      <c r="RAT85" s="268"/>
      <c r="RAU85" s="267"/>
      <c r="RAV85" s="268"/>
      <c r="RAW85" s="267"/>
      <c r="RAX85" s="268"/>
      <c r="RAY85" s="267"/>
      <c r="RAZ85" s="268"/>
      <c r="RBA85" s="267"/>
      <c r="RBB85" s="268"/>
      <c r="RBC85" s="267"/>
      <c r="RBD85" s="268"/>
      <c r="RBE85" s="267"/>
      <c r="RBF85" s="268"/>
      <c r="RBG85" s="267"/>
      <c r="RBH85" s="268"/>
      <c r="RBI85" s="267"/>
      <c r="RBJ85" s="268"/>
      <c r="RBK85" s="267"/>
      <c r="RBL85" s="268"/>
      <c r="RBM85" s="267"/>
      <c r="RBN85" s="268"/>
      <c r="RBO85" s="267"/>
      <c r="RBP85" s="268"/>
      <c r="RBQ85" s="267"/>
      <c r="RBR85" s="268"/>
      <c r="RBS85" s="267"/>
      <c r="RBT85" s="268"/>
      <c r="RBU85" s="267"/>
      <c r="RBV85" s="268"/>
      <c r="RBW85" s="267"/>
      <c r="RBX85" s="268"/>
      <c r="RBY85" s="267"/>
      <c r="RBZ85" s="268"/>
      <c r="RCA85" s="267"/>
      <c r="RCB85" s="268"/>
      <c r="RCC85" s="267"/>
      <c r="RCD85" s="268"/>
      <c r="RCE85" s="267"/>
      <c r="RCF85" s="268"/>
      <c r="RCG85" s="267"/>
      <c r="RCH85" s="268"/>
      <c r="RCI85" s="267"/>
      <c r="RCJ85" s="268"/>
      <c r="RCK85" s="267"/>
      <c r="RCL85" s="268"/>
      <c r="RCM85" s="267"/>
      <c r="RCN85" s="268"/>
      <c r="RCO85" s="267"/>
      <c r="RCP85" s="268"/>
      <c r="RCQ85" s="267"/>
      <c r="RCR85" s="268"/>
      <c r="RCS85" s="267"/>
      <c r="RCT85" s="268"/>
      <c r="RCU85" s="267"/>
      <c r="RCV85" s="268"/>
      <c r="RCW85" s="267"/>
      <c r="RCX85" s="268"/>
      <c r="RCY85" s="267"/>
      <c r="RCZ85" s="268"/>
      <c r="RDA85" s="267"/>
      <c r="RDB85" s="268"/>
      <c r="RDC85" s="267"/>
      <c r="RDD85" s="268"/>
      <c r="RDE85" s="267"/>
      <c r="RDF85" s="268"/>
      <c r="RDG85" s="267"/>
      <c r="RDH85" s="268"/>
      <c r="RDI85" s="267"/>
      <c r="RDJ85" s="268"/>
      <c r="RDK85" s="267"/>
      <c r="RDL85" s="268"/>
      <c r="RDM85" s="267"/>
      <c r="RDN85" s="268"/>
      <c r="RDO85" s="267"/>
      <c r="RDP85" s="268"/>
      <c r="RDQ85" s="267"/>
      <c r="RDR85" s="268"/>
      <c r="RDS85" s="267"/>
      <c r="RDT85" s="268"/>
      <c r="RDU85" s="267"/>
      <c r="RDV85" s="268"/>
      <c r="RDW85" s="267"/>
      <c r="RDX85" s="268"/>
      <c r="RDY85" s="267"/>
      <c r="RDZ85" s="268"/>
      <c r="REA85" s="267"/>
      <c r="REB85" s="268"/>
      <c r="REC85" s="267"/>
      <c r="RED85" s="268"/>
      <c r="REE85" s="267"/>
      <c r="REF85" s="268"/>
      <c r="REG85" s="267"/>
      <c r="REH85" s="268"/>
      <c r="REI85" s="267"/>
      <c r="REJ85" s="268"/>
      <c r="REK85" s="267"/>
      <c r="REL85" s="268"/>
      <c r="REM85" s="267"/>
      <c r="REN85" s="268"/>
      <c r="REO85" s="267"/>
      <c r="REP85" s="268"/>
      <c r="REQ85" s="267"/>
      <c r="RER85" s="268"/>
      <c r="RES85" s="267"/>
      <c r="RET85" s="268"/>
      <c r="REU85" s="267"/>
      <c r="REV85" s="268"/>
      <c r="REW85" s="267"/>
      <c r="REX85" s="268"/>
      <c r="REY85" s="267"/>
      <c r="REZ85" s="268"/>
      <c r="RFA85" s="267"/>
      <c r="RFB85" s="268"/>
      <c r="RFC85" s="267"/>
      <c r="RFD85" s="268"/>
      <c r="RFE85" s="267"/>
      <c r="RFF85" s="268"/>
      <c r="RFG85" s="267"/>
      <c r="RFH85" s="268"/>
      <c r="RFI85" s="267"/>
      <c r="RFJ85" s="268"/>
      <c r="RFK85" s="267"/>
      <c r="RFL85" s="268"/>
      <c r="RFM85" s="267"/>
      <c r="RFN85" s="268"/>
      <c r="RFO85" s="267"/>
      <c r="RFP85" s="268"/>
      <c r="RFQ85" s="267"/>
      <c r="RFR85" s="268"/>
      <c r="RFS85" s="267"/>
      <c r="RFT85" s="268"/>
      <c r="RFU85" s="267"/>
      <c r="RFV85" s="268"/>
      <c r="RFW85" s="267"/>
      <c r="RFX85" s="268"/>
      <c r="RFY85" s="267"/>
      <c r="RFZ85" s="268"/>
      <c r="RGA85" s="267"/>
      <c r="RGB85" s="268"/>
      <c r="RGC85" s="267"/>
      <c r="RGD85" s="268"/>
      <c r="RGE85" s="267"/>
      <c r="RGF85" s="268"/>
      <c r="RGG85" s="267"/>
      <c r="RGH85" s="268"/>
      <c r="RGI85" s="267"/>
      <c r="RGJ85" s="268"/>
      <c r="RGK85" s="267"/>
      <c r="RGL85" s="268"/>
      <c r="RGM85" s="267"/>
      <c r="RGN85" s="268"/>
      <c r="RGO85" s="267"/>
      <c r="RGP85" s="268"/>
      <c r="RGQ85" s="267"/>
      <c r="RGR85" s="268"/>
      <c r="RGS85" s="267"/>
      <c r="RGT85" s="268"/>
      <c r="RGU85" s="267"/>
      <c r="RGV85" s="268"/>
      <c r="RGW85" s="267"/>
      <c r="RGX85" s="268"/>
      <c r="RGY85" s="267"/>
      <c r="RGZ85" s="268"/>
      <c r="RHA85" s="267"/>
      <c r="RHB85" s="268"/>
      <c r="RHC85" s="267"/>
      <c r="RHD85" s="268"/>
      <c r="RHE85" s="267"/>
      <c r="RHF85" s="268"/>
      <c r="RHG85" s="267"/>
      <c r="RHH85" s="268"/>
      <c r="RHI85" s="267"/>
      <c r="RHJ85" s="268"/>
      <c r="RHK85" s="267"/>
      <c r="RHL85" s="268"/>
      <c r="RHM85" s="267"/>
      <c r="RHN85" s="268"/>
      <c r="RHO85" s="267"/>
      <c r="RHP85" s="268"/>
      <c r="RHQ85" s="267"/>
      <c r="RHR85" s="268"/>
      <c r="RHS85" s="267"/>
      <c r="RHT85" s="268"/>
      <c r="RHU85" s="267"/>
      <c r="RHV85" s="268"/>
      <c r="RHW85" s="267"/>
      <c r="RHX85" s="268"/>
      <c r="RHY85" s="267"/>
      <c r="RHZ85" s="268"/>
      <c r="RIA85" s="267"/>
      <c r="RIB85" s="268"/>
      <c r="RIC85" s="267"/>
      <c r="RID85" s="268"/>
      <c r="RIE85" s="267"/>
      <c r="RIF85" s="268"/>
      <c r="RIG85" s="267"/>
      <c r="RIH85" s="268"/>
      <c r="RII85" s="267"/>
      <c r="RIJ85" s="268"/>
      <c r="RIK85" s="267"/>
      <c r="RIL85" s="268"/>
      <c r="RIM85" s="267"/>
      <c r="RIN85" s="268"/>
      <c r="RIO85" s="267"/>
      <c r="RIP85" s="268"/>
      <c r="RIQ85" s="267"/>
      <c r="RIR85" s="268"/>
      <c r="RIS85" s="267"/>
      <c r="RIT85" s="268"/>
      <c r="RIU85" s="267"/>
      <c r="RIV85" s="268"/>
      <c r="RIW85" s="267"/>
      <c r="RIX85" s="268"/>
      <c r="RIY85" s="267"/>
      <c r="RIZ85" s="268"/>
      <c r="RJA85" s="267"/>
      <c r="RJB85" s="268"/>
      <c r="RJC85" s="267"/>
      <c r="RJD85" s="268"/>
      <c r="RJE85" s="267"/>
      <c r="RJF85" s="268"/>
      <c r="RJG85" s="267"/>
      <c r="RJH85" s="268"/>
      <c r="RJI85" s="267"/>
      <c r="RJJ85" s="268"/>
      <c r="RJK85" s="267"/>
      <c r="RJL85" s="268"/>
      <c r="RJM85" s="267"/>
      <c r="RJN85" s="268"/>
      <c r="RJO85" s="267"/>
      <c r="RJP85" s="268"/>
      <c r="RJQ85" s="267"/>
      <c r="RJR85" s="268"/>
      <c r="RJS85" s="267"/>
      <c r="RJT85" s="268"/>
      <c r="RJU85" s="267"/>
      <c r="RJV85" s="268"/>
      <c r="RJW85" s="267"/>
      <c r="RJX85" s="268"/>
      <c r="RJY85" s="267"/>
      <c r="RJZ85" s="268"/>
      <c r="RKA85" s="267"/>
      <c r="RKB85" s="268"/>
      <c r="RKC85" s="267"/>
      <c r="RKD85" s="268"/>
      <c r="RKE85" s="267"/>
      <c r="RKF85" s="268"/>
      <c r="RKG85" s="267"/>
      <c r="RKH85" s="268"/>
      <c r="RKI85" s="267"/>
      <c r="RKJ85" s="268"/>
      <c r="RKK85" s="267"/>
      <c r="RKL85" s="268"/>
      <c r="RKM85" s="267"/>
      <c r="RKN85" s="268"/>
      <c r="RKO85" s="267"/>
      <c r="RKP85" s="268"/>
      <c r="RKQ85" s="267"/>
      <c r="RKR85" s="268"/>
      <c r="RKS85" s="267"/>
      <c r="RKT85" s="268"/>
      <c r="RKU85" s="267"/>
      <c r="RKV85" s="268"/>
      <c r="RKW85" s="267"/>
      <c r="RKX85" s="268"/>
      <c r="RKY85" s="267"/>
      <c r="RKZ85" s="268"/>
      <c r="RLA85" s="267"/>
      <c r="RLB85" s="268"/>
      <c r="RLC85" s="267"/>
      <c r="RLD85" s="268"/>
      <c r="RLE85" s="267"/>
      <c r="RLF85" s="268"/>
      <c r="RLG85" s="267"/>
      <c r="RLH85" s="268"/>
      <c r="RLI85" s="267"/>
      <c r="RLJ85" s="268"/>
      <c r="RLK85" s="267"/>
      <c r="RLL85" s="268"/>
      <c r="RLM85" s="267"/>
      <c r="RLN85" s="268"/>
      <c r="RLO85" s="267"/>
      <c r="RLP85" s="268"/>
      <c r="RLQ85" s="267"/>
      <c r="RLR85" s="268"/>
      <c r="RLS85" s="267"/>
      <c r="RLT85" s="268"/>
      <c r="RLU85" s="267"/>
      <c r="RLV85" s="268"/>
      <c r="RLW85" s="267"/>
      <c r="RLX85" s="268"/>
      <c r="RLY85" s="267"/>
      <c r="RLZ85" s="268"/>
      <c r="RMA85" s="267"/>
      <c r="RMB85" s="268"/>
      <c r="RMC85" s="267"/>
      <c r="RMD85" s="268"/>
      <c r="RME85" s="267"/>
      <c r="RMF85" s="268"/>
      <c r="RMG85" s="267"/>
      <c r="RMH85" s="268"/>
      <c r="RMI85" s="267"/>
      <c r="RMJ85" s="268"/>
      <c r="RMK85" s="267"/>
      <c r="RML85" s="268"/>
      <c r="RMM85" s="267"/>
      <c r="RMN85" s="268"/>
      <c r="RMO85" s="267"/>
      <c r="RMP85" s="268"/>
      <c r="RMQ85" s="267"/>
      <c r="RMR85" s="268"/>
      <c r="RMS85" s="267"/>
      <c r="RMT85" s="268"/>
      <c r="RMU85" s="267"/>
      <c r="RMV85" s="268"/>
      <c r="RMW85" s="267"/>
      <c r="RMX85" s="268"/>
      <c r="RMY85" s="267"/>
      <c r="RMZ85" s="268"/>
      <c r="RNA85" s="267"/>
      <c r="RNB85" s="268"/>
      <c r="RNC85" s="267"/>
      <c r="RND85" s="268"/>
      <c r="RNE85" s="267"/>
      <c r="RNF85" s="268"/>
      <c r="RNG85" s="267"/>
      <c r="RNH85" s="268"/>
      <c r="RNI85" s="267"/>
      <c r="RNJ85" s="268"/>
      <c r="RNK85" s="267"/>
      <c r="RNL85" s="268"/>
      <c r="RNM85" s="267"/>
      <c r="RNN85" s="268"/>
      <c r="RNO85" s="267"/>
      <c r="RNP85" s="268"/>
      <c r="RNQ85" s="267"/>
      <c r="RNR85" s="268"/>
      <c r="RNS85" s="267"/>
      <c r="RNT85" s="268"/>
      <c r="RNU85" s="267"/>
      <c r="RNV85" s="268"/>
      <c r="RNW85" s="267"/>
      <c r="RNX85" s="268"/>
      <c r="RNY85" s="267"/>
      <c r="RNZ85" s="268"/>
      <c r="ROA85" s="267"/>
      <c r="ROB85" s="268"/>
      <c r="ROC85" s="267"/>
      <c r="ROD85" s="268"/>
      <c r="ROE85" s="267"/>
      <c r="ROF85" s="268"/>
      <c r="ROG85" s="267"/>
      <c r="ROH85" s="268"/>
      <c r="ROI85" s="267"/>
      <c r="ROJ85" s="268"/>
      <c r="ROK85" s="267"/>
      <c r="ROL85" s="268"/>
      <c r="ROM85" s="267"/>
      <c r="RON85" s="268"/>
      <c r="ROO85" s="267"/>
      <c r="ROP85" s="268"/>
      <c r="ROQ85" s="267"/>
      <c r="ROR85" s="268"/>
      <c r="ROS85" s="267"/>
      <c r="ROT85" s="268"/>
      <c r="ROU85" s="267"/>
      <c r="ROV85" s="268"/>
      <c r="ROW85" s="267"/>
      <c r="ROX85" s="268"/>
      <c r="ROY85" s="267"/>
      <c r="ROZ85" s="268"/>
      <c r="RPA85" s="267"/>
      <c r="RPB85" s="268"/>
      <c r="RPC85" s="267"/>
      <c r="RPD85" s="268"/>
      <c r="RPE85" s="267"/>
      <c r="RPF85" s="268"/>
      <c r="RPG85" s="267"/>
      <c r="RPH85" s="268"/>
      <c r="RPI85" s="267"/>
      <c r="RPJ85" s="268"/>
      <c r="RPK85" s="267"/>
      <c r="RPL85" s="268"/>
      <c r="RPM85" s="267"/>
      <c r="RPN85" s="268"/>
      <c r="RPO85" s="267"/>
      <c r="RPP85" s="268"/>
      <c r="RPQ85" s="267"/>
      <c r="RPR85" s="268"/>
      <c r="RPS85" s="267"/>
      <c r="RPT85" s="268"/>
      <c r="RPU85" s="267"/>
      <c r="RPV85" s="268"/>
      <c r="RPW85" s="267"/>
      <c r="RPX85" s="268"/>
      <c r="RPY85" s="267"/>
      <c r="RPZ85" s="268"/>
      <c r="RQA85" s="267"/>
      <c r="RQB85" s="268"/>
      <c r="RQC85" s="267"/>
      <c r="RQD85" s="268"/>
      <c r="RQE85" s="267"/>
      <c r="RQF85" s="268"/>
      <c r="RQG85" s="267"/>
      <c r="RQH85" s="268"/>
      <c r="RQI85" s="267"/>
      <c r="RQJ85" s="268"/>
      <c r="RQK85" s="267"/>
      <c r="RQL85" s="268"/>
      <c r="RQM85" s="267"/>
      <c r="RQN85" s="268"/>
      <c r="RQO85" s="267"/>
      <c r="RQP85" s="268"/>
      <c r="RQQ85" s="267"/>
      <c r="RQR85" s="268"/>
      <c r="RQS85" s="267"/>
      <c r="RQT85" s="268"/>
      <c r="RQU85" s="267"/>
      <c r="RQV85" s="268"/>
      <c r="RQW85" s="267"/>
      <c r="RQX85" s="268"/>
      <c r="RQY85" s="267"/>
      <c r="RQZ85" s="268"/>
      <c r="RRA85" s="267"/>
      <c r="RRB85" s="268"/>
      <c r="RRC85" s="267"/>
      <c r="RRD85" s="268"/>
      <c r="RRE85" s="267"/>
      <c r="RRF85" s="268"/>
      <c r="RRG85" s="267"/>
      <c r="RRH85" s="268"/>
      <c r="RRI85" s="267"/>
      <c r="RRJ85" s="268"/>
      <c r="RRK85" s="267"/>
      <c r="RRL85" s="268"/>
      <c r="RRM85" s="267"/>
      <c r="RRN85" s="268"/>
      <c r="RRO85" s="267"/>
      <c r="RRP85" s="268"/>
      <c r="RRQ85" s="267"/>
      <c r="RRR85" s="268"/>
      <c r="RRS85" s="267"/>
      <c r="RRT85" s="268"/>
      <c r="RRU85" s="267"/>
      <c r="RRV85" s="268"/>
      <c r="RRW85" s="267"/>
      <c r="RRX85" s="268"/>
      <c r="RRY85" s="267"/>
      <c r="RRZ85" s="268"/>
      <c r="RSA85" s="267"/>
      <c r="RSB85" s="268"/>
      <c r="RSC85" s="267"/>
      <c r="RSD85" s="268"/>
      <c r="RSE85" s="267"/>
      <c r="RSF85" s="268"/>
      <c r="RSG85" s="267"/>
      <c r="RSH85" s="268"/>
      <c r="RSI85" s="267"/>
      <c r="RSJ85" s="268"/>
      <c r="RSK85" s="267"/>
      <c r="RSL85" s="268"/>
      <c r="RSM85" s="267"/>
      <c r="RSN85" s="268"/>
      <c r="RSO85" s="267"/>
      <c r="RSP85" s="268"/>
      <c r="RSQ85" s="267"/>
      <c r="RSR85" s="268"/>
      <c r="RSS85" s="267"/>
      <c r="RST85" s="268"/>
      <c r="RSU85" s="267"/>
      <c r="RSV85" s="268"/>
      <c r="RSW85" s="267"/>
      <c r="RSX85" s="268"/>
      <c r="RSY85" s="267"/>
      <c r="RSZ85" s="268"/>
      <c r="RTA85" s="267"/>
      <c r="RTB85" s="268"/>
      <c r="RTC85" s="267"/>
      <c r="RTD85" s="268"/>
      <c r="RTE85" s="267"/>
      <c r="RTF85" s="268"/>
      <c r="RTG85" s="267"/>
      <c r="RTH85" s="268"/>
      <c r="RTI85" s="267"/>
      <c r="RTJ85" s="268"/>
      <c r="RTK85" s="267"/>
      <c r="RTL85" s="268"/>
      <c r="RTM85" s="267"/>
      <c r="RTN85" s="268"/>
      <c r="RTO85" s="267"/>
      <c r="RTP85" s="268"/>
      <c r="RTQ85" s="267"/>
      <c r="RTR85" s="268"/>
      <c r="RTS85" s="267"/>
      <c r="RTT85" s="268"/>
      <c r="RTU85" s="267"/>
      <c r="RTV85" s="268"/>
      <c r="RTW85" s="267"/>
      <c r="RTX85" s="268"/>
      <c r="RTY85" s="267"/>
      <c r="RTZ85" s="268"/>
      <c r="RUA85" s="267"/>
      <c r="RUB85" s="268"/>
      <c r="RUC85" s="267"/>
      <c r="RUD85" s="268"/>
      <c r="RUE85" s="267"/>
      <c r="RUF85" s="268"/>
      <c r="RUG85" s="267"/>
      <c r="RUH85" s="268"/>
      <c r="RUI85" s="267"/>
      <c r="RUJ85" s="268"/>
      <c r="RUK85" s="267"/>
      <c r="RUL85" s="268"/>
      <c r="RUM85" s="267"/>
      <c r="RUN85" s="268"/>
      <c r="RUO85" s="267"/>
      <c r="RUP85" s="268"/>
      <c r="RUQ85" s="267"/>
      <c r="RUR85" s="268"/>
      <c r="RUS85" s="267"/>
      <c r="RUT85" s="268"/>
      <c r="RUU85" s="267"/>
      <c r="RUV85" s="268"/>
      <c r="RUW85" s="267"/>
      <c r="RUX85" s="268"/>
      <c r="RUY85" s="267"/>
      <c r="RUZ85" s="268"/>
      <c r="RVA85" s="267"/>
      <c r="RVB85" s="268"/>
      <c r="RVC85" s="267"/>
      <c r="RVD85" s="268"/>
      <c r="RVE85" s="267"/>
      <c r="RVF85" s="268"/>
      <c r="RVG85" s="267"/>
      <c r="RVH85" s="268"/>
      <c r="RVI85" s="267"/>
      <c r="RVJ85" s="268"/>
      <c r="RVK85" s="267"/>
      <c r="RVL85" s="268"/>
      <c r="RVM85" s="267"/>
      <c r="RVN85" s="268"/>
      <c r="RVO85" s="267"/>
      <c r="RVP85" s="268"/>
      <c r="RVQ85" s="267"/>
      <c r="RVR85" s="268"/>
      <c r="RVS85" s="267"/>
      <c r="RVT85" s="268"/>
      <c r="RVU85" s="267"/>
      <c r="RVV85" s="268"/>
      <c r="RVW85" s="267"/>
      <c r="RVX85" s="268"/>
      <c r="RVY85" s="267"/>
      <c r="RVZ85" s="268"/>
      <c r="RWA85" s="267"/>
      <c r="RWB85" s="268"/>
      <c r="RWC85" s="267"/>
      <c r="RWD85" s="268"/>
      <c r="RWE85" s="267"/>
      <c r="RWF85" s="268"/>
      <c r="RWG85" s="267"/>
      <c r="RWH85" s="268"/>
      <c r="RWI85" s="267"/>
      <c r="RWJ85" s="268"/>
      <c r="RWK85" s="267"/>
      <c r="RWL85" s="268"/>
      <c r="RWM85" s="267"/>
      <c r="RWN85" s="268"/>
      <c r="RWO85" s="267"/>
      <c r="RWP85" s="268"/>
      <c r="RWQ85" s="267"/>
      <c r="RWR85" s="268"/>
      <c r="RWS85" s="267"/>
      <c r="RWT85" s="268"/>
      <c r="RWU85" s="267"/>
      <c r="RWV85" s="268"/>
      <c r="RWW85" s="267"/>
      <c r="RWX85" s="268"/>
      <c r="RWY85" s="267"/>
      <c r="RWZ85" s="268"/>
      <c r="RXA85" s="267"/>
      <c r="RXB85" s="268"/>
      <c r="RXC85" s="267"/>
      <c r="RXD85" s="268"/>
      <c r="RXE85" s="267"/>
      <c r="RXF85" s="268"/>
      <c r="RXG85" s="267"/>
      <c r="RXH85" s="268"/>
      <c r="RXI85" s="267"/>
      <c r="RXJ85" s="268"/>
      <c r="RXK85" s="267"/>
      <c r="RXL85" s="268"/>
      <c r="RXM85" s="267"/>
      <c r="RXN85" s="268"/>
      <c r="RXO85" s="267"/>
      <c r="RXP85" s="268"/>
      <c r="RXQ85" s="267"/>
      <c r="RXR85" s="268"/>
      <c r="RXS85" s="267"/>
      <c r="RXT85" s="268"/>
      <c r="RXU85" s="267"/>
      <c r="RXV85" s="268"/>
      <c r="RXW85" s="267"/>
      <c r="RXX85" s="268"/>
      <c r="RXY85" s="267"/>
      <c r="RXZ85" s="268"/>
      <c r="RYA85" s="267"/>
      <c r="RYB85" s="268"/>
      <c r="RYC85" s="267"/>
      <c r="RYD85" s="268"/>
      <c r="RYE85" s="267"/>
      <c r="RYF85" s="268"/>
      <c r="RYG85" s="267"/>
      <c r="RYH85" s="268"/>
      <c r="RYI85" s="267"/>
      <c r="RYJ85" s="268"/>
      <c r="RYK85" s="267"/>
      <c r="RYL85" s="268"/>
      <c r="RYM85" s="267"/>
      <c r="RYN85" s="268"/>
      <c r="RYO85" s="267"/>
      <c r="RYP85" s="268"/>
      <c r="RYQ85" s="267"/>
      <c r="RYR85" s="268"/>
      <c r="RYS85" s="267"/>
      <c r="RYT85" s="268"/>
      <c r="RYU85" s="267"/>
      <c r="RYV85" s="268"/>
      <c r="RYW85" s="267"/>
      <c r="RYX85" s="268"/>
      <c r="RYY85" s="267"/>
      <c r="RYZ85" s="268"/>
      <c r="RZA85" s="267"/>
      <c r="RZB85" s="268"/>
      <c r="RZC85" s="267"/>
      <c r="RZD85" s="268"/>
      <c r="RZE85" s="267"/>
      <c r="RZF85" s="268"/>
      <c r="RZG85" s="267"/>
      <c r="RZH85" s="268"/>
      <c r="RZI85" s="267"/>
      <c r="RZJ85" s="268"/>
      <c r="RZK85" s="267"/>
      <c r="RZL85" s="268"/>
      <c r="RZM85" s="267"/>
      <c r="RZN85" s="268"/>
      <c r="RZO85" s="267"/>
      <c r="RZP85" s="268"/>
      <c r="RZQ85" s="267"/>
      <c r="RZR85" s="268"/>
      <c r="RZS85" s="267"/>
      <c r="RZT85" s="268"/>
      <c r="RZU85" s="267"/>
      <c r="RZV85" s="268"/>
      <c r="RZW85" s="267"/>
      <c r="RZX85" s="268"/>
      <c r="RZY85" s="267"/>
      <c r="RZZ85" s="268"/>
      <c r="SAA85" s="267"/>
      <c r="SAB85" s="268"/>
      <c r="SAC85" s="267"/>
      <c r="SAD85" s="268"/>
      <c r="SAE85" s="267"/>
      <c r="SAF85" s="268"/>
      <c r="SAG85" s="267"/>
      <c r="SAH85" s="268"/>
      <c r="SAI85" s="267"/>
      <c r="SAJ85" s="268"/>
      <c r="SAK85" s="267"/>
      <c r="SAL85" s="268"/>
      <c r="SAM85" s="267"/>
      <c r="SAN85" s="268"/>
      <c r="SAO85" s="267"/>
      <c r="SAP85" s="268"/>
      <c r="SAQ85" s="267"/>
      <c r="SAR85" s="268"/>
      <c r="SAS85" s="267"/>
      <c r="SAT85" s="268"/>
      <c r="SAU85" s="267"/>
      <c r="SAV85" s="268"/>
      <c r="SAW85" s="267"/>
      <c r="SAX85" s="268"/>
      <c r="SAY85" s="267"/>
      <c r="SAZ85" s="268"/>
      <c r="SBA85" s="267"/>
      <c r="SBB85" s="268"/>
      <c r="SBC85" s="267"/>
      <c r="SBD85" s="268"/>
      <c r="SBE85" s="267"/>
      <c r="SBF85" s="268"/>
      <c r="SBG85" s="267"/>
      <c r="SBH85" s="268"/>
      <c r="SBI85" s="267"/>
      <c r="SBJ85" s="268"/>
      <c r="SBK85" s="267"/>
      <c r="SBL85" s="268"/>
      <c r="SBM85" s="267"/>
      <c r="SBN85" s="268"/>
      <c r="SBO85" s="267"/>
      <c r="SBP85" s="268"/>
      <c r="SBQ85" s="267"/>
      <c r="SBR85" s="268"/>
      <c r="SBS85" s="267"/>
      <c r="SBT85" s="268"/>
      <c r="SBU85" s="267"/>
      <c r="SBV85" s="268"/>
      <c r="SBW85" s="267"/>
      <c r="SBX85" s="268"/>
      <c r="SBY85" s="267"/>
      <c r="SBZ85" s="268"/>
      <c r="SCA85" s="267"/>
      <c r="SCB85" s="268"/>
      <c r="SCC85" s="267"/>
      <c r="SCD85" s="268"/>
      <c r="SCE85" s="267"/>
      <c r="SCF85" s="268"/>
      <c r="SCG85" s="267"/>
      <c r="SCH85" s="268"/>
      <c r="SCI85" s="267"/>
      <c r="SCJ85" s="268"/>
      <c r="SCK85" s="267"/>
      <c r="SCL85" s="268"/>
      <c r="SCM85" s="267"/>
      <c r="SCN85" s="268"/>
      <c r="SCO85" s="267"/>
      <c r="SCP85" s="268"/>
      <c r="SCQ85" s="267"/>
      <c r="SCR85" s="268"/>
      <c r="SCS85" s="267"/>
      <c r="SCT85" s="268"/>
      <c r="SCU85" s="267"/>
      <c r="SCV85" s="268"/>
      <c r="SCW85" s="267"/>
      <c r="SCX85" s="268"/>
      <c r="SCY85" s="267"/>
      <c r="SCZ85" s="268"/>
      <c r="SDA85" s="267"/>
      <c r="SDB85" s="268"/>
      <c r="SDC85" s="267"/>
      <c r="SDD85" s="268"/>
      <c r="SDE85" s="267"/>
      <c r="SDF85" s="268"/>
      <c r="SDG85" s="267"/>
      <c r="SDH85" s="268"/>
      <c r="SDI85" s="267"/>
      <c r="SDJ85" s="268"/>
      <c r="SDK85" s="267"/>
      <c r="SDL85" s="268"/>
      <c r="SDM85" s="267"/>
      <c r="SDN85" s="268"/>
      <c r="SDO85" s="267"/>
      <c r="SDP85" s="268"/>
      <c r="SDQ85" s="267"/>
      <c r="SDR85" s="268"/>
      <c r="SDS85" s="267"/>
      <c r="SDT85" s="268"/>
      <c r="SDU85" s="267"/>
      <c r="SDV85" s="268"/>
      <c r="SDW85" s="267"/>
      <c r="SDX85" s="268"/>
      <c r="SDY85" s="267"/>
      <c r="SDZ85" s="268"/>
      <c r="SEA85" s="267"/>
      <c r="SEB85" s="268"/>
      <c r="SEC85" s="267"/>
      <c r="SED85" s="268"/>
      <c r="SEE85" s="267"/>
      <c r="SEF85" s="268"/>
      <c r="SEG85" s="267"/>
      <c r="SEH85" s="268"/>
      <c r="SEI85" s="267"/>
      <c r="SEJ85" s="268"/>
      <c r="SEK85" s="267"/>
      <c r="SEL85" s="268"/>
      <c r="SEM85" s="267"/>
      <c r="SEN85" s="268"/>
      <c r="SEO85" s="267"/>
      <c r="SEP85" s="268"/>
      <c r="SEQ85" s="267"/>
      <c r="SER85" s="268"/>
      <c r="SES85" s="267"/>
      <c r="SET85" s="268"/>
      <c r="SEU85" s="267"/>
      <c r="SEV85" s="268"/>
      <c r="SEW85" s="267"/>
      <c r="SEX85" s="268"/>
      <c r="SEY85" s="267"/>
      <c r="SEZ85" s="268"/>
      <c r="SFA85" s="267"/>
      <c r="SFB85" s="268"/>
      <c r="SFC85" s="267"/>
      <c r="SFD85" s="268"/>
      <c r="SFE85" s="267"/>
      <c r="SFF85" s="268"/>
      <c r="SFG85" s="267"/>
      <c r="SFH85" s="268"/>
      <c r="SFI85" s="267"/>
      <c r="SFJ85" s="268"/>
      <c r="SFK85" s="267"/>
      <c r="SFL85" s="268"/>
      <c r="SFM85" s="267"/>
      <c r="SFN85" s="268"/>
      <c r="SFO85" s="267"/>
      <c r="SFP85" s="268"/>
      <c r="SFQ85" s="267"/>
      <c r="SFR85" s="268"/>
      <c r="SFS85" s="267"/>
      <c r="SFT85" s="268"/>
      <c r="SFU85" s="267"/>
      <c r="SFV85" s="268"/>
      <c r="SFW85" s="267"/>
      <c r="SFX85" s="268"/>
      <c r="SFY85" s="267"/>
      <c r="SFZ85" s="268"/>
      <c r="SGA85" s="267"/>
      <c r="SGB85" s="268"/>
      <c r="SGC85" s="267"/>
      <c r="SGD85" s="268"/>
      <c r="SGE85" s="267"/>
      <c r="SGF85" s="268"/>
      <c r="SGG85" s="267"/>
      <c r="SGH85" s="268"/>
      <c r="SGI85" s="267"/>
      <c r="SGJ85" s="268"/>
      <c r="SGK85" s="267"/>
      <c r="SGL85" s="268"/>
      <c r="SGM85" s="267"/>
      <c r="SGN85" s="268"/>
      <c r="SGO85" s="267"/>
      <c r="SGP85" s="268"/>
      <c r="SGQ85" s="267"/>
      <c r="SGR85" s="268"/>
      <c r="SGS85" s="267"/>
      <c r="SGT85" s="268"/>
      <c r="SGU85" s="267"/>
      <c r="SGV85" s="268"/>
      <c r="SGW85" s="267"/>
      <c r="SGX85" s="268"/>
      <c r="SGY85" s="267"/>
      <c r="SGZ85" s="268"/>
      <c r="SHA85" s="267"/>
      <c r="SHB85" s="268"/>
      <c r="SHC85" s="267"/>
      <c r="SHD85" s="268"/>
      <c r="SHE85" s="267"/>
      <c r="SHF85" s="268"/>
      <c r="SHG85" s="267"/>
      <c r="SHH85" s="268"/>
      <c r="SHI85" s="267"/>
      <c r="SHJ85" s="268"/>
      <c r="SHK85" s="267"/>
      <c r="SHL85" s="268"/>
      <c r="SHM85" s="267"/>
      <c r="SHN85" s="268"/>
      <c r="SHO85" s="267"/>
      <c r="SHP85" s="268"/>
      <c r="SHQ85" s="267"/>
      <c r="SHR85" s="268"/>
      <c r="SHS85" s="267"/>
      <c r="SHT85" s="268"/>
      <c r="SHU85" s="267"/>
      <c r="SHV85" s="268"/>
      <c r="SHW85" s="267"/>
      <c r="SHX85" s="268"/>
      <c r="SHY85" s="267"/>
      <c r="SHZ85" s="268"/>
      <c r="SIA85" s="267"/>
      <c r="SIB85" s="268"/>
      <c r="SIC85" s="267"/>
      <c r="SID85" s="268"/>
      <c r="SIE85" s="267"/>
      <c r="SIF85" s="268"/>
      <c r="SIG85" s="267"/>
      <c r="SIH85" s="268"/>
      <c r="SII85" s="267"/>
      <c r="SIJ85" s="268"/>
      <c r="SIK85" s="267"/>
      <c r="SIL85" s="268"/>
      <c r="SIM85" s="267"/>
      <c r="SIN85" s="268"/>
      <c r="SIO85" s="267"/>
      <c r="SIP85" s="268"/>
      <c r="SIQ85" s="267"/>
      <c r="SIR85" s="268"/>
      <c r="SIS85" s="267"/>
      <c r="SIT85" s="268"/>
      <c r="SIU85" s="267"/>
      <c r="SIV85" s="268"/>
      <c r="SIW85" s="267"/>
      <c r="SIX85" s="268"/>
      <c r="SIY85" s="267"/>
      <c r="SIZ85" s="268"/>
      <c r="SJA85" s="267"/>
      <c r="SJB85" s="268"/>
      <c r="SJC85" s="267"/>
      <c r="SJD85" s="268"/>
      <c r="SJE85" s="267"/>
      <c r="SJF85" s="268"/>
      <c r="SJG85" s="267"/>
      <c r="SJH85" s="268"/>
      <c r="SJI85" s="267"/>
      <c r="SJJ85" s="268"/>
      <c r="SJK85" s="267"/>
      <c r="SJL85" s="268"/>
      <c r="SJM85" s="267"/>
      <c r="SJN85" s="268"/>
      <c r="SJO85" s="267"/>
      <c r="SJP85" s="268"/>
      <c r="SJQ85" s="267"/>
      <c r="SJR85" s="268"/>
      <c r="SJS85" s="267"/>
      <c r="SJT85" s="268"/>
      <c r="SJU85" s="267"/>
      <c r="SJV85" s="268"/>
      <c r="SJW85" s="267"/>
      <c r="SJX85" s="268"/>
      <c r="SJY85" s="267"/>
      <c r="SJZ85" s="268"/>
      <c r="SKA85" s="267"/>
      <c r="SKB85" s="268"/>
      <c r="SKC85" s="267"/>
      <c r="SKD85" s="268"/>
      <c r="SKE85" s="267"/>
      <c r="SKF85" s="268"/>
      <c r="SKG85" s="267"/>
      <c r="SKH85" s="268"/>
      <c r="SKI85" s="267"/>
      <c r="SKJ85" s="268"/>
      <c r="SKK85" s="267"/>
      <c r="SKL85" s="268"/>
      <c r="SKM85" s="267"/>
      <c r="SKN85" s="268"/>
      <c r="SKO85" s="267"/>
      <c r="SKP85" s="268"/>
      <c r="SKQ85" s="267"/>
      <c r="SKR85" s="268"/>
      <c r="SKS85" s="267"/>
      <c r="SKT85" s="268"/>
      <c r="SKU85" s="267"/>
      <c r="SKV85" s="268"/>
      <c r="SKW85" s="267"/>
      <c r="SKX85" s="268"/>
      <c r="SKY85" s="267"/>
      <c r="SKZ85" s="268"/>
      <c r="SLA85" s="267"/>
      <c r="SLB85" s="268"/>
      <c r="SLC85" s="267"/>
      <c r="SLD85" s="268"/>
      <c r="SLE85" s="267"/>
      <c r="SLF85" s="268"/>
      <c r="SLG85" s="267"/>
      <c r="SLH85" s="268"/>
      <c r="SLI85" s="267"/>
      <c r="SLJ85" s="268"/>
      <c r="SLK85" s="267"/>
      <c r="SLL85" s="268"/>
      <c r="SLM85" s="267"/>
      <c r="SLN85" s="268"/>
      <c r="SLO85" s="267"/>
      <c r="SLP85" s="268"/>
      <c r="SLQ85" s="267"/>
      <c r="SLR85" s="268"/>
      <c r="SLS85" s="267"/>
      <c r="SLT85" s="268"/>
      <c r="SLU85" s="267"/>
      <c r="SLV85" s="268"/>
      <c r="SLW85" s="267"/>
      <c r="SLX85" s="268"/>
      <c r="SLY85" s="267"/>
      <c r="SLZ85" s="268"/>
      <c r="SMA85" s="267"/>
      <c r="SMB85" s="268"/>
      <c r="SMC85" s="267"/>
      <c r="SMD85" s="268"/>
      <c r="SME85" s="267"/>
      <c r="SMF85" s="268"/>
      <c r="SMG85" s="267"/>
      <c r="SMH85" s="268"/>
      <c r="SMI85" s="267"/>
      <c r="SMJ85" s="268"/>
      <c r="SMK85" s="267"/>
      <c r="SML85" s="268"/>
      <c r="SMM85" s="267"/>
      <c r="SMN85" s="268"/>
      <c r="SMO85" s="267"/>
      <c r="SMP85" s="268"/>
      <c r="SMQ85" s="267"/>
      <c r="SMR85" s="268"/>
      <c r="SMS85" s="267"/>
      <c r="SMT85" s="268"/>
      <c r="SMU85" s="267"/>
      <c r="SMV85" s="268"/>
      <c r="SMW85" s="267"/>
      <c r="SMX85" s="268"/>
      <c r="SMY85" s="267"/>
      <c r="SMZ85" s="268"/>
      <c r="SNA85" s="267"/>
      <c r="SNB85" s="268"/>
      <c r="SNC85" s="267"/>
      <c r="SND85" s="268"/>
      <c r="SNE85" s="267"/>
      <c r="SNF85" s="268"/>
      <c r="SNG85" s="267"/>
      <c r="SNH85" s="268"/>
      <c r="SNI85" s="267"/>
      <c r="SNJ85" s="268"/>
      <c r="SNK85" s="267"/>
      <c r="SNL85" s="268"/>
      <c r="SNM85" s="267"/>
      <c r="SNN85" s="268"/>
      <c r="SNO85" s="267"/>
      <c r="SNP85" s="268"/>
      <c r="SNQ85" s="267"/>
      <c r="SNR85" s="268"/>
      <c r="SNS85" s="267"/>
      <c r="SNT85" s="268"/>
      <c r="SNU85" s="267"/>
      <c r="SNV85" s="268"/>
      <c r="SNW85" s="267"/>
      <c r="SNX85" s="268"/>
      <c r="SNY85" s="267"/>
      <c r="SNZ85" s="268"/>
      <c r="SOA85" s="267"/>
      <c r="SOB85" s="268"/>
      <c r="SOC85" s="267"/>
      <c r="SOD85" s="268"/>
      <c r="SOE85" s="267"/>
      <c r="SOF85" s="268"/>
      <c r="SOG85" s="267"/>
      <c r="SOH85" s="268"/>
      <c r="SOI85" s="267"/>
      <c r="SOJ85" s="268"/>
      <c r="SOK85" s="267"/>
      <c r="SOL85" s="268"/>
      <c r="SOM85" s="267"/>
      <c r="SON85" s="268"/>
      <c r="SOO85" s="267"/>
      <c r="SOP85" s="268"/>
      <c r="SOQ85" s="267"/>
      <c r="SOR85" s="268"/>
      <c r="SOS85" s="267"/>
      <c r="SOT85" s="268"/>
      <c r="SOU85" s="267"/>
      <c r="SOV85" s="268"/>
      <c r="SOW85" s="267"/>
      <c r="SOX85" s="268"/>
      <c r="SOY85" s="267"/>
      <c r="SOZ85" s="268"/>
      <c r="SPA85" s="267"/>
      <c r="SPB85" s="268"/>
      <c r="SPC85" s="267"/>
      <c r="SPD85" s="268"/>
      <c r="SPE85" s="267"/>
      <c r="SPF85" s="268"/>
      <c r="SPG85" s="267"/>
      <c r="SPH85" s="268"/>
      <c r="SPI85" s="267"/>
      <c r="SPJ85" s="268"/>
      <c r="SPK85" s="267"/>
      <c r="SPL85" s="268"/>
      <c r="SPM85" s="267"/>
      <c r="SPN85" s="268"/>
      <c r="SPO85" s="267"/>
      <c r="SPP85" s="268"/>
      <c r="SPQ85" s="267"/>
      <c r="SPR85" s="268"/>
      <c r="SPS85" s="267"/>
      <c r="SPT85" s="268"/>
      <c r="SPU85" s="267"/>
      <c r="SPV85" s="268"/>
      <c r="SPW85" s="267"/>
      <c r="SPX85" s="268"/>
      <c r="SPY85" s="267"/>
      <c r="SPZ85" s="268"/>
      <c r="SQA85" s="267"/>
      <c r="SQB85" s="268"/>
      <c r="SQC85" s="267"/>
      <c r="SQD85" s="268"/>
      <c r="SQE85" s="267"/>
      <c r="SQF85" s="268"/>
      <c r="SQG85" s="267"/>
      <c r="SQH85" s="268"/>
      <c r="SQI85" s="267"/>
      <c r="SQJ85" s="268"/>
      <c r="SQK85" s="267"/>
      <c r="SQL85" s="268"/>
      <c r="SQM85" s="267"/>
      <c r="SQN85" s="268"/>
      <c r="SQO85" s="267"/>
      <c r="SQP85" s="268"/>
      <c r="SQQ85" s="267"/>
      <c r="SQR85" s="268"/>
      <c r="SQS85" s="267"/>
      <c r="SQT85" s="268"/>
      <c r="SQU85" s="267"/>
      <c r="SQV85" s="268"/>
      <c r="SQW85" s="267"/>
      <c r="SQX85" s="268"/>
      <c r="SQY85" s="267"/>
      <c r="SQZ85" s="268"/>
      <c r="SRA85" s="267"/>
      <c r="SRB85" s="268"/>
      <c r="SRC85" s="267"/>
      <c r="SRD85" s="268"/>
      <c r="SRE85" s="267"/>
      <c r="SRF85" s="268"/>
      <c r="SRG85" s="267"/>
      <c r="SRH85" s="268"/>
      <c r="SRI85" s="267"/>
      <c r="SRJ85" s="268"/>
      <c r="SRK85" s="267"/>
      <c r="SRL85" s="268"/>
      <c r="SRM85" s="267"/>
      <c r="SRN85" s="268"/>
      <c r="SRO85" s="267"/>
      <c r="SRP85" s="268"/>
      <c r="SRQ85" s="267"/>
      <c r="SRR85" s="268"/>
      <c r="SRS85" s="267"/>
      <c r="SRT85" s="268"/>
      <c r="SRU85" s="267"/>
      <c r="SRV85" s="268"/>
      <c r="SRW85" s="267"/>
      <c r="SRX85" s="268"/>
      <c r="SRY85" s="267"/>
      <c r="SRZ85" s="268"/>
      <c r="SSA85" s="267"/>
      <c r="SSB85" s="268"/>
      <c r="SSC85" s="267"/>
      <c r="SSD85" s="268"/>
      <c r="SSE85" s="267"/>
      <c r="SSF85" s="268"/>
      <c r="SSG85" s="267"/>
      <c r="SSH85" s="268"/>
      <c r="SSI85" s="267"/>
      <c r="SSJ85" s="268"/>
      <c r="SSK85" s="267"/>
      <c r="SSL85" s="268"/>
      <c r="SSM85" s="267"/>
      <c r="SSN85" s="268"/>
      <c r="SSO85" s="267"/>
      <c r="SSP85" s="268"/>
      <c r="SSQ85" s="267"/>
      <c r="SSR85" s="268"/>
      <c r="SSS85" s="267"/>
      <c r="SST85" s="268"/>
      <c r="SSU85" s="267"/>
      <c r="SSV85" s="268"/>
      <c r="SSW85" s="267"/>
      <c r="SSX85" s="268"/>
      <c r="SSY85" s="267"/>
      <c r="SSZ85" s="268"/>
      <c r="STA85" s="267"/>
      <c r="STB85" s="268"/>
      <c r="STC85" s="267"/>
      <c r="STD85" s="268"/>
      <c r="STE85" s="267"/>
      <c r="STF85" s="268"/>
      <c r="STG85" s="267"/>
      <c r="STH85" s="268"/>
      <c r="STI85" s="267"/>
      <c r="STJ85" s="268"/>
      <c r="STK85" s="267"/>
      <c r="STL85" s="268"/>
      <c r="STM85" s="267"/>
      <c r="STN85" s="268"/>
      <c r="STO85" s="267"/>
      <c r="STP85" s="268"/>
      <c r="STQ85" s="267"/>
      <c r="STR85" s="268"/>
      <c r="STS85" s="267"/>
      <c r="STT85" s="268"/>
      <c r="STU85" s="267"/>
      <c r="STV85" s="268"/>
      <c r="STW85" s="267"/>
      <c r="STX85" s="268"/>
      <c r="STY85" s="267"/>
      <c r="STZ85" s="268"/>
      <c r="SUA85" s="267"/>
      <c r="SUB85" s="268"/>
      <c r="SUC85" s="267"/>
      <c r="SUD85" s="268"/>
      <c r="SUE85" s="267"/>
      <c r="SUF85" s="268"/>
      <c r="SUG85" s="267"/>
      <c r="SUH85" s="268"/>
      <c r="SUI85" s="267"/>
      <c r="SUJ85" s="268"/>
      <c r="SUK85" s="267"/>
      <c r="SUL85" s="268"/>
      <c r="SUM85" s="267"/>
      <c r="SUN85" s="268"/>
      <c r="SUO85" s="267"/>
      <c r="SUP85" s="268"/>
      <c r="SUQ85" s="267"/>
      <c r="SUR85" s="268"/>
      <c r="SUS85" s="267"/>
      <c r="SUT85" s="268"/>
      <c r="SUU85" s="267"/>
      <c r="SUV85" s="268"/>
      <c r="SUW85" s="267"/>
      <c r="SUX85" s="268"/>
      <c r="SUY85" s="267"/>
      <c r="SUZ85" s="268"/>
      <c r="SVA85" s="267"/>
      <c r="SVB85" s="268"/>
      <c r="SVC85" s="267"/>
      <c r="SVD85" s="268"/>
      <c r="SVE85" s="267"/>
      <c r="SVF85" s="268"/>
      <c r="SVG85" s="267"/>
      <c r="SVH85" s="268"/>
      <c r="SVI85" s="267"/>
      <c r="SVJ85" s="268"/>
      <c r="SVK85" s="267"/>
      <c r="SVL85" s="268"/>
      <c r="SVM85" s="267"/>
      <c r="SVN85" s="268"/>
      <c r="SVO85" s="267"/>
      <c r="SVP85" s="268"/>
      <c r="SVQ85" s="267"/>
      <c r="SVR85" s="268"/>
      <c r="SVS85" s="267"/>
      <c r="SVT85" s="268"/>
      <c r="SVU85" s="267"/>
      <c r="SVV85" s="268"/>
      <c r="SVW85" s="267"/>
      <c r="SVX85" s="268"/>
      <c r="SVY85" s="267"/>
      <c r="SVZ85" s="268"/>
      <c r="SWA85" s="267"/>
      <c r="SWB85" s="268"/>
      <c r="SWC85" s="267"/>
      <c r="SWD85" s="268"/>
      <c r="SWE85" s="267"/>
      <c r="SWF85" s="268"/>
      <c r="SWG85" s="267"/>
      <c r="SWH85" s="268"/>
      <c r="SWI85" s="267"/>
      <c r="SWJ85" s="268"/>
      <c r="SWK85" s="267"/>
      <c r="SWL85" s="268"/>
      <c r="SWM85" s="267"/>
      <c r="SWN85" s="268"/>
      <c r="SWO85" s="267"/>
      <c r="SWP85" s="268"/>
      <c r="SWQ85" s="267"/>
      <c r="SWR85" s="268"/>
      <c r="SWS85" s="267"/>
      <c r="SWT85" s="268"/>
      <c r="SWU85" s="267"/>
      <c r="SWV85" s="268"/>
      <c r="SWW85" s="267"/>
      <c r="SWX85" s="268"/>
      <c r="SWY85" s="267"/>
      <c r="SWZ85" s="268"/>
      <c r="SXA85" s="267"/>
      <c r="SXB85" s="268"/>
      <c r="SXC85" s="267"/>
      <c r="SXD85" s="268"/>
      <c r="SXE85" s="267"/>
      <c r="SXF85" s="268"/>
      <c r="SXG85" s="267"/>
      <c r="SXH85" s="268"/>
      <c r="SXI85" s="267"/>
      <c r="SXJ85" s="268"/>
      <c r="SXK85" s="267"/>
      <c r="SXL85" s="268"/>
      <c r="SXM85" s="267"/>
      <c r="SXN85" s="268"/>
      <c r="SXO85" s="267"/>
      <c r="SXP85" s="268"/>
      <c r="SXQ85" s="267"/>
      <c r="SXR85" s="268"/>
      <c r="SXS85" s="267"/>
      <c r="SXT85" s="268"/>
      <c r="SXU85" s="267"/>
      <c r="SXV85" s="268"/>
      <c r="SXW85" s="267"/>
      <c r="SXX85" s="268"/>
      <c r="SXY85" s="267"/>
      <c r="SXZ85" s="268"/>
      <c r="SYA85" s="267"/>
      <c r="SYB85" s="268"/>
      <c r="SYC85" s="267"/>
      <c r="SYD85" s="268"/>
      <c r="SYE85" s="267"/>
      <c r="SYF85" s="268"/>
      <c r="SYG85" s="267"/>
      <c r="SYH85" s="268"/>
      <c r="SYI85" s="267"/>
      <c r="SYJ85" s="268"/>
      <c r="SYK85" s="267"/>
      <c r="SYL85" s="268"/>
      <c r="SYM85" s="267"/>
      <c r="SYN85" s="268"/>
      <c r="SYO85" s="267"/>
      <c r="SYP85" s="268"/>
      <c r="SYQ85" s="267"/>
      <c r="SYR85" s="268"/>
      <c r="SYS85" s="267"/>
      <c r="SYT85" s="268"/>
      <c r="SYU85" s="267"/>
      <c r="SYV85" s="268"/>
      <c r="SYW85" s="267"/>
      <c r="SYX85" s="268"/>
      <c r="SYY85" s="267"/>
      <c r="SYZ85" s="268"/>
      <c r="SZA85" s="267"/>
      <c r="SZB85" s="268"/>
      <c r="SZC85" s="267"/>
      <c r="SZD85" s="268"/>
      <c r="SZE85" s="267"/>
      <c r="SZF85" s="268"/>
      <c r="SZG85" s="267"/>
      <c r="SZH85" s="268"/>
      <c r="SZI85" s="267"/>
      <c r="SZJ85" s="268"/>
      <c r="SZK85" s="267"/>
      <c r="SZL85" s="268"/>
      <c r="SZM85" s="267"/>
      <c r="SZN85" s="268"/>
      <c r="SZO85" s="267"/>
      <c r="SZP85" s="268"/>
      <c r="SZQ85" s="267"/>
      <c r="SZR85" s="268"/>
      <c r="SZS85" s="267"/>
      <c r="SZT85" s="268"/>
      <c r="SZU85" s="267"/>
      <c r="SZV85" s="268"/>
      <c r="SZW85" s="267"/>
      <c r="SZX85" s="268"/>
      <c r="SZY85" s="267"/>
      <c r="SZZ85" s="268"/>
      <c r="TAA85" s="267"/>
      <c r="TAB85" s="268"/>
      <c r="TAC85" s="267"/>
      <c r="TAD85" s="268"/>
      <c r="TAE85" s="267"/>
      <c r="TAF85" s="268"/>
      <c r="TAG85" s="267"/>
      <c r="TAH85" s="268"/>
      <c r="TAI85" s="267"/>
      <c r="TAJ85" s="268"/>
      <c r="TAK85" s="267"/>
      <c r="TAL85" s="268"/>
      <c r="TAM85" s="267"/>
      <c r="TAN85" s="268"/>
      <c r="TAO85" s="267"/>
      <c r="TAP85" s="268"/>
      <c r="TAQ85" s="267"/>
      <c r="TAR85" s="268"/>
      <c r="TAS85" s="267"/>
      <c r="TAT85" s="268"/>
      <c r="TAU85" s="267"/>
      <c r="TAV85" s="268"/>
      <c r="TAW85" s="267"/>
      <c r="TAX85" s="268"/>
      <c r="TAY85" s="267"/>
      <c r="TAZ85" s="268"/>
      <c r="TBA85" s="267"/>
      <c r="TBB85" s="268"/>
      <c r="TBC85" s="267"/>
      <c r="TBD85" s="268"/>
      <c r="TBE85" s="267"/>
      <c r="TBF85" s="268"/>
      <c r="TBG85" s="267"/>
      <c r="TBH85" s="268"/>
      <c r="TBI85" s="267"/>
      <c r="TBJ85" s="268"/>
      <c r="TBK85" s="267"/>
      <c r="TBL85" s="268"/>
      <c r="TBM85" s="267"/>
      <c r="TBN85" s="268"/>
      <c r="TBO85" s="267"/>
      <c r="TBP85" s="268"/>
      <c r="TBQ85" s="267"/>
      <c r="TBR85" s="268"/>
      <c r="TBS85" s="267"/>
      <c r="TBT85" s="268"/>
      <c r="TBU85" s="267"/>
      <c r="TBV85" s="268"/>
      <c r="TBW85" s="267"/>
      <c r="TBX85" s="268"/>
      <c r="TBY85" s="267"/>
      <c r="TBZ85" s="268"/>
      <c r="TCA85" s="267"/>
      <c r="TCB85" s="268"/>
      <c r="TCC85" s="267"/>
      <c r="TCD85" s="268"/>
      <c r="TCE85" s="267"/>
      <c r="TCF85" s="268"/>
      <c r="TCG85" s="267"/>
      <c r="TCH85" s="268"/>
      <c r="TCI85" s="267"/>
      <c r="TCJ85" s="268"/>
      <c r="TCK85" s="267"/>
      <c r="TCL85" s="268"/>
      <c r="TCM85" s="267"/>
      <c r="TCN85" s="268"/>
      <c r="TCO85" s="267"/>
      <c r="TCP85" s="268"/>
      <c r="TCQ85" s="267"/>
      <c r="TCR85" s="268"/>
      <c r="TCS85" s="267"/>
      <c r="TCT85" s="268"/>
      <c r="TCU85" s="267"/>
      <c r="TCV85" s="268"/>
      <c r="TCW85" s="267"/>
      <c r="TCX85" s="268"/>
      <c r="TCY85" s="267"/>
      <c r="TCZ85" s="268"/>
      <c r="TDA85" s="267"/>
      <c r="TDB85" s="268"/>
      <c r="TDC85" s="267"/>
      <c r="TDD85" s="268"/>
      <c r="TDE85" s="267"/>
      <c r="TDF85" s="268"/>
      <c r="TDG85" s="267"/>
      <c r="TDH85" s="268"/>
      <c r="TDI85" s="267"/>
      <c r="TDJ85" s="268"/>
      <c r="TDK85" s="267"/>
      <c r="TDL85" s="268"/>
      <c r="TDM85" s="267"/>
      <c r="TDN85" s="268"/>
      <c r="TDO85" s="267"/>
      <c r="TDP85" s="268"/>
      <c r="TDQ85" s="267"/>
      <c r="TDR85" s="268"/>
      <c r="TDS85" s="267"/>
      <c r="TDT85" s="268"/>
      <c r="TDU85" s="267"/>
      <c r="TDV85" s="268"/>
      <c r="TDW85" s="267"/>
      <c r="TDX85" s="268"/>
      <c r="TDY85" s="267"/>
      <c r="TDZ85" s="268"/>
      <c r="TEA85" s="267"/>
      <c r="TEB85" s="268"/>
      <c r="TEC85" s="267"/>
      <c r="TED85" s="268"/>
      <c r="TEE85" s="267"/>
      <c r="TEF85" s="268"/>
      <c r="TEG85" s="267"/>
      <c r="TEH85" s="268"/>
      <c r="TEI85" s="267"/>
      <c r="TEJ85" s="268"/>
      <c r="TEK85" s="267"/>
      <c r="TEL85" s="268"/>
      <c r="TEM85" s="267"/>
      <c r="TEN85" s="268"/>
      <c r="TEO85" s="267"/>
      <c r="TEP85" s="268"/>
      <c r="TEQ85" s="267"/>
      <c r="TER85" s="268"/>
      <c r="TES85" s="267"/>
      <c r="TET85" s="268"/>
      <c r="TEU85" s="267"/>
      <c r="TEV85" s="268"/>
      <c r="TEW85" s="267"/>
      <c r="TEX85" s="268"/>
      <c r="TEY85" s="267"/>
      <c r="TEZ85" s="268"/>
      <c r="TFA85" s="267"/>
      <c r="TFB85" s="268"/>
      <c r="TFC85" s="267"/>
      <c r="TFD85" s="268"/>
      <c r="TFE85" s="267"/>
      <c r="TFF85" s="268"/>
      <c r="TFG85" s="267"/>
      <c r="TFH85" s="268"/>
      <c r="TFI85" s="267"/>
      <c r="TFJ85" s="268"/>
      <c r="TFK85" s="267"/>
      <c r="TFL85" s="268"/>
      <c r="TFM85" s="267"/>
      <c r="TFN85" s="268"/>
      <c r="TFO85" s="267"/>
      <c r="TFP85" s="268"/>
      <c r="TFQ85" s="267"/>
      <c r="TFR85" s="268"/>
      <c r="TFS85" s="267"/>
      <c r="TFT85" s="268"/>
      <c r="TFU85" s="267"/>
      <c r="TFV85" s="268"/>
      <c r="TFW85" s="267"/>
      <c r="TFX85" s="268"/>
      <c r="TFY85" s="267"/>
      <c r="TFZ85" s="268"/>
      <c r="TGA85" s="267"/>
      <c r="TGB85" s="268"/>
      <c r="TGC85" s="267"/>
      <c r="TGD85" s="268"/>
      <c r="TGE85" s="267"/>
      <c r="TGF85" s="268"/>
      <c r="TGG85" s="267"/>
      <c r="TGH85" s="268"/>
      <c r="TGI85" s="267"/>
      <c r="TGJ85" s="268"/>
      <c r="TGK85" s="267"/>
      <c r="TGL85" s="268"/>
      <c r="TGM85" s="267"/>
      <c r="TGN85" s="268"/>
      <c r="TGO85" s="267"/>
      <c r="TGP85" s="268"/>
      <c r="TGQ85" s="267"/>
      <c r="TGR85" s="268"/>
      <c r="TGS85" s="267"/>
      <c r="TGT85" s="268"/>
      <c r="TGU85" s="267"/>
      <c r="TGV85" s="268"/>
      <c r="TGW85" s="267"/>
      <c r="TGX85" s="268"/>
      <c r="TGY85" s="267"/>
      <c r="TGZ85" s="268"/>
      <c r="THA85" s="267"/>
      <c r="THB85" s="268"/>
      <c r="THC85" s="267"/>
      <c r="THD85" s="268"/>
      <c r="THE85" s="267"/>
      <c r="THF85" s="268"/>
      <c r="THG85" s="267"/>
      <c r="THH85" s="268"/>
      <c r="THI85" s="267"/>
      <c r="THJ85" s="268"/>
      <c r="THK85" s="267"/>
      <c r="THL85" s="268"/>
      <c r="THM85" s="267"/>
      <c r="THN85" s="268"/>
      <c r="THO85" s="267"/>
      <c r="THP85" s="268"/>
      <c r="THQ85" s="267"/>
      <c r="THR85" s="268"/>
      <c r="THS85" s="267"/>
      <c r="THT85" s="268"/>
      <c r="THU85" s="267"/>
      <c r="THV85" s="268"/>
      <c r="THW85" s="267"/>
      <c r="THX85" s="268"/>
      <c r="THY85" s="267"/>
      <c r="THZ85" s="268"/>
      <c r="TIA85" s="267"/>
      <c r="TIB85" s="268"/>
      <c r="TIC85" s="267"/>
      <c r="TID85" s="268"/>
      <c r="TIE85" s="267"/>
      <c r="TIF85" s="268"/>
      <c r="TIG85" s="267"/>
      <c r="TIH85" s="268"/>
      <c r="TII85" s="267"/>
      <c r="TIJ85" s="268"/>
      <c r="TIK85" s="267"/>
      <c r="TIL85" s="268"/>
      <c r="TIM85" s="267"/>
      <c r="TIN85" s="268"/>
      <c r="TIO85" s="267"/>
      <c r="TIP85" s="268"/>
      <c r="TIQ85" s="267"/>
      <c r="TIR85" s="268"/>
      <c r="TIS85" s="267"/>
      <c r="TIT85" s="268"/>
      <c r="TIU85" s="267"/>
      <c r="TIV85" s="268"/>
      <c r="TIW85" s="267"/>
      <c r="TIX85" s="268"/>
      <c r="TIY85" s="267"/>
      <c r="TIZ85" s="268"/>
      <c r="TJA85" s="267"/>
      <c r="TJB85" s="268"/>
      <c r="TJC85" s="267"/>
      <c r="TJD85" s="268"/>
      <c r="TJE85" s="267"/>
      <c r="TJF85" s="268"/>
      <c r="TJG85" s="267"/>
      <c r="TJH85" s="268"/>
      <c r="TJI85" s="267"/>
      <c r="TJJ85" s="268"/>
      <c r="TJK85" s="267"/>
      <c r="TJL85" s="268"/>
      <c r="TJM85" s="267"/>
      <c r="TJN85" s="268"/>
      <c r="TJO85" s="267"/>
      <c r="TJP85" s="268"/>
      <c r="TJQ85" s="267"/>
      <c r="TJR85" s="268"/>
      <c r="TJS85" s="267"/>
      <c r="TJT85" s="268"/>
      <c r="TJU85" s="267"/>
      <c r="TJV85" s="268"/>
      <c r="TJW85" s="267"/>
      <c r="TJX85" s="268"/>
      <c r="TJY85" s="267"/>
      <c r="TJZ85" s="268"/>
      <c r="TKA85" s="267"/>
      <c r="TKB85" s="268"/>
      <c r="TKC85" s="267"/>
      <c r="TKD85" s="268"/>
      <c r="TKE85" s="267"/>
      <c r="TKF85" s="268"/>
      <c r="TKG85" s="267"/>
      <c r="TKH85" s="268"/>
      <c r="TKI85" s="267"/>
      <c r="TKJ85" s="268"/>
      <c r="TKK85" s="267"/>
      <c r="TKL85" s="268"/>
      <c r="TKM85" s="267"/>
      <c r="TKN85" s="268"/>
      <c r="TKO85" s="267"/>
      <c r="TKP85" s="268"/>
      <c r="TKQ85" s="267"/>
      <c r="TKR85" s="268"/>
      <c r="TKS85" s="267"/>
      <c r="TKT85" s="268"/>
      <c r="TKU85" s="267"/>
      <c r="TKV85" s="268"/>
      <c r="TKW85" s="267"/>
      <c r="TKX85" s="268"/>
      <c r="TKY85" s="267"/>
      <c r="TKZ85" s="268"/>
      <c r="TLA85" s="267"/>
      <c r="TLB85" s="268"/>
      <c r="TLC85" s="267"/>
      <c r="TLD85" s="268"/>
      <c r="TLE85" s="267"/>
      <c r="TLF85" s="268"/>
      <c r="TLG85" s="267"/>
      <c r="TLH85" s="268"/>
      <c r="TLI85" s="267"/>
      <c r="TLJ85" s="268"/>
      <c r="TLK85" s="267"/>
      <c r="TLL85" s="268"/>
      <c r="TLM85" s="267"/>
      <c r="TLN85" s="268"/>
      <c r="TLO85" s="267"/>
      <c r="TLP85" s="268"/>
      <c r="TLQ85" s="267"/>
      <c r="TLR85" s="268"/>
      <c r="TLS85" s="267"/>
      <c r="TLT85" s="268"/>
      <c r="TLU85" s="267"/>
      <c r="TLV85" s="268"/>
      <c r="TLW85" s="267"/>
      <c r="TLX85" s="268"/>
      <c r="TLY85" s="267"/>
      <c r="TLZ85" s="268"/>
      <c r="TMA85" s="267"/>
      <c r="TMB85" s="268"/>
      <c r="TMC85" s="267"/>
      <c r="TMD85" s="268"/>
      <c r="TME85" s="267"/>
      <c r="TMF85" s="268"/>
      <c r="TMG85" s="267"/>
      <c r="TMH85" s="268"/>
      <c r="TMI85" s="267"/>
      <c r="TMJ85" s="268"/>
      <c r="TMK85" s="267"/>
      <c r="TML85" s="268"/>
      <c r="TMM85" s="267"/>
      <c r="TMN85" s="268"/>
      <c r="TMO85" s="267"/>
      <c r="TMP85" s="268"/>
      <c r="TMQ85" s="267"/>
      <c r="TMR85" s="268"/>
      <c r="TMS85" s="267"/>
      <c r="TMT85" s="268"/>
      <c r="TMU85" s="267"/>
      <c r="TMV85" s="268"/>
      <c r="TMW85" s="267"/>
      <c r="TMX85" s="268"/>
      <c r="TMY85" s="267"/>
      <c r="TMZ85" s="268"/>
      <c r="TNA85" s="267"/>
      <c r="TNB85" s="268"/>
      <c r="TNC85" s="267"/>
      <c r="TND85" s="268"/>
      <c r="TNE85" s="267"/>
      <c r="TNF85" s="268"/>
      <c r="TNG85" s="267"/>
      <c r="TNH85" s="268"/>
      <c r="TNI85" s="267"/>
      <c r="TNJ85" s="268"/>
      <c r="TNK85" s="267"/>
      <c r="TNL85" s="268"/>
      <c r="TNM85" s="267"/>
      <c r="TNN85" s="268"/>
      <c r="TNO85" s="267"/>
      <c r="TNP85" s="268"/>
      <c r="TNQ85" s="267"/>
      <c r="TNR85" s="268"/>
      <c r="TNS85" s="267"/>
      <c r="TNT85" s="268"/>
      <c r="TNU85" s="267"/>
      <c r="TNV85" s="268"/>
      <c r="TNW85" s="267"/>
      <c r="TNX85" s="268"/>
      <c r="TNY85" s="267"/>
      <c r="TNZ85" s="268"/>
      <c r="TOA85" s="267"/>
      <c r="TOB85" s="268"/>
      <c r="TOC85" s="267"/>
      <c r="TOD85" s="268"/>
      <c r="TOE85" s="267"/>
      <c r="TOF85" s="268"/>
      <c r="TOG85" s="267"/>
      <c r="TOH85" s="268"/>
      <c r="TOI85" s="267"/>
      <c r="TOJ85" s="268"/>
      <c r="TOK85" s="267"/>
      <c r="TOL85" s="268"/>
      <c r="TOM85" s="267"/>
      <c r="TON85" s="268"/>
      <c r="TOO85" s="267"/>
      <c r="TOP85" s="268"/>
      <c r="TOQ85" s="267"/>
      <c r="TOR85" s="268"/>
      <c r="TOS85" s="267"/>
      <c r="TOT85" s="268"/>
      <c r="TOU85" s="267"/>
      <c r="TOV85" s="268"/>
      <c r="TOW85" s="267"/>
      <c r="TOX85" s="268"/>
      <c r="TOY85" s="267"/>
      <c r="TOZ85" s="268"/>
      <c r="TPA85" s="267"/>
      <c r="TPB85" s="268"/>
      <c r="TPC85" s="267"/>
      <c r="TPD85" s="268"/>
      <c r="TPE85" s="267"/>
      <c r="TPF85" s="268"/>
      <c r="TPG85" s="267"/>
      <c r="TPH85" s="268"/>
      <c r="TPI85" s="267"/>
      <c r="TPJ85" s="268"/>
      <c r="TPK85" s="267"/>
      <c r="TPL85" s="268"/>
      <c r="TPM85" s="267"/>
      <c r="TPN85" s="268"/>
      <c r="TPO85" s="267"/>
      <c r="TPP85" s="268"/>
      <c r="TPQ85" s="267"/>
      <c r="TPR85" s="268"/>
      <c r="TPS85" s="267"/>
      <c r="TPT85" s="268"/>
      <c r="TPU85" s="267"/>
      <c r="TPV85" s="268"/>
      <c r="TPW85" s="267"/>
      <c r="TPX85" s="268"/>
      <c r="TPY85" s="267"/>
      <c r="TPZ85" s="268"/>
      <c r="TQA85" s="267"/>
      <c r="TQB85" s="268"/>
      <c r="TQC85" s="267"/>
      <c r="TQD85" s="268"/>
      <c r="TQE85" s="267"/>
      <c r="TQF85" s="268"/>
      <c r="TQG85" s="267"/>
      <c r="TQH85" s="268"/>
      <c r="TQI85" s="267"/>
      <c r="TQJ85" s="268"/>
      <c r="TQK85" s="267"/>
      <c r="TQL85" s="268"/>
      <c r="TQM85" s="267"/>
      <c r="TQN85" s="268"/>
      <c r="TQO85" s="267"/>
      <c r="TQP85" s="268"/>
      <c r="TQQ85" s="267"/>
      <c r="TQR85" s="268"/>
      <c r="TQS85" s="267"/>
      <c r="TQT85" s="268"/>
      <c r="TQU85" s="267"/>
      <c r="TQV85" s="268"/>
      <c r="TQW85" s="267"/>
      <c r="TQX85" s="268"/>
      <c r="TQY85" s="267"/>
      <c r="TQZ85" s="268"/>
      <c r="TRA85" s="267"/>
      <c r="TRB85" s="268"/>
      <c r="TRC85" s="267"/>
      <c r="TRD85" s="268"/>
      <c r="TRE85" s="267"/>
      <c r="TRF85" s="268"/>
      <c r="TRG85" s="267"/>
      <c r="TRH85" s="268"/>
      <c r="TRI85" s="267"/>
      <c r="TRJ85" s="268"/>
      <c r="TRK85" s="267"/>
      <c r="TRL85" s="268"/>
      <c r="TRM85" s="267"/>
      <c r="TRN85" s="268"/>
      <c r="TRO85" s="267"/>
      <c r="TRP85" s="268"/>
      <c r="TRQ85" s="267"/>
      <c r="TRR85" s="268"/>
      <c r="TRS85" s="267"/>
      <c r="TRT85" s="268"/>
      <c r="TRU85" s="267"/>
      <c r="TRV85" s="268"/>
      <c r="TRW85" s="267"/>
      <c r="TRX85" s="268"/>
      <c r="TRY85" s="267"/>
      <c r="TRZ85" s="268"/>
      <c r="TSA85" s="267"/>
      <c r="TSB85" s="268"/>
      <c r="TSC85" s="267"/>
      <c r="TSD85" s="268"/>
      <c r="TSE85" s="267"/>
      <c r="TSF85" s="268"/>
      <c r="TSG85" s="267"/>
      <c r="TSH85" s="268"/>
      <c r="TSI85" s="267"/>
      <c r="TSJ85" s="268"/>
      <c r="TSK85" s="267"/>
      <c r="TSL85" s="268"/>
      <c r="TSM85" s="267"/>
      <c r="TSN85" s="268"/>
      <c r="TSO85" s="267"/>
      <c r="TSP85" s="268"/>
      <c r="TSQ85" s="267"/>
      <c r="TSR85" s="268"/>
      <c r="TSS85" s="267"/>
      <c r="TST85" s="268"/>
      <c r="TSU85" s="267"/>
      <c r="TSV85" s="268"/>
      <c r="TSW85" s="267"/>
      <c r="TSX85" s="268"/>
      <c r="TSY85" s="267"/>
      <c r="TSZ85" s="268"/>
      <c r="TTA85" s="267"/>
      <c r="TTB85" s="268"/>
      <c r="TTC85" s="267"/>
      <c r="TTD85" s="268"/>
      <c r="TTE85" s="267"/>
      <c r="TTF85" s="268"/>
      <c r="TTG85" s="267"/>
      <c r="TTH85" s="268"/>
      <c r="TTI85" s="267"/>
      <c r="TTJ85" s="268"/>
      <c r="TTK85" s="267"/>
      <c r="TTL85" s="268"/>
      <c r="TTM85" s="267"/>
      <c r="TTN85" s="268"/>
      <c r="TTO85" s="267"/>
      <c r="TTP85" s="268"/>
      <c r="TTQ85" s="267"/>
      <c r="TTR85" s="268"/>
      <c r="TTS85" s="267"/>
      <c r="TTT85" s="268"/>
      <c r="TTU85" s="267"/>
      <c r="TTV85" s="268"/>
      <c r="TTW85" s="267"/>
      <c r="TTX85" s="268"/>
      <c r="TTY85" s="267"/>
      <c r="TTZ85" s="268"/>
      <c r="TUA85" s="267"/>
      <c r="TUB85" s="268"/>
      <c r="TUC85" s="267"/>
      <c r="TUD85" s="268"/>
      <c r="TUE85" s="267"/>
      <c r="TUF85" s="268"/>
      <c r="TUG85" s="267"/>
      <c r="TUH85" s="268"/>
      <c r="TUI85" s="267"/>
      <c r="TUJ85" s="268"/>
      <c r="TUK85" s="267"/>
      <c r="TUL85" s="268"/>
      <c r="TUM85" s="267"/>
      <c r="TUN85" s="268"/>
      <c r="TUO85" s="267"/>
      <c r="TUP85" s="268"/>
      <c r="TUQ85" s="267"/>
      <c r="TUR85" s="268"/>
      <c r="TUS85" s="267"/>
      <c r="TUT85" s="268"/>
      <c r="TUU85" s="267"/>
      <c r="TUV85" s="268"/>
      <c r="TUW85" s="267"/>
      <c r="TUX85" s="268"/>
      <c r="TUY85" s="267"/>
      <c r="TUZ85" s="268"/>
      <c r="TVA85" s="267"/>
      <c r="TVB85" s="268"/>
      <c r="TVC85" s="267"/>
      <c r="TVD85" s="268"/>
      <c r="TVE85" s="267"/>
      <c r="TVF85" s="268"/>
      <c r="TVG85" s="267"/>
      <c r="TVH85" s="268"/>
      <c r="TVI85" s="267"/>
      <c r="TVJ85" s="268"/>
      <c r="TVK85" s="267"/>
      <c r="TVL85" s="268"/>
      <c r="TVM85" s="267"/>
      <c r="TVN85" s="268"/>
      <c r="TVO85" s="267"/>
      <c r="TVP85" s="268"/>
      <c r="TVQ85" s="267"/>
      <c r="TVR85" s="268"/>
      <c r="TVS85" s="267"/>
      <c r="TVT85" s="268"/>
      <c r="TVU85" s="267"/>
      <c r="TVV85" s="268"/>
      <c r="TVW85" s="267"/>
      <c r="TVX85" s="268"/>
      <c r="TVY85" s="267"/>
      <c r="TVZ85" s="268"/>
      <c r="TWA85" s="267"/>
      <c r="TWB85" s="268"/>
      <c r="TWC85" s="267"/>
      <c r="TWD85" s="268"/>
      <c r="TWE85" s="267"/>
      <c r="TWF85" s="268"/>
      <c r="TWG85" s="267"/>
      <c r="TWH85" s="268"/>
      <c r="TWI85" s="267"/>
      <c r="TWJ85" s="268"/>
      <c r="TWK85" s="267"/>
      <c r="TWL85" s="268"/>
      <c r="TWM85" s="267"/>
      <c r="TWN85" s="268"/>
      <c r="TWO85" s="267"/>
      <c r="TWP85" s="268"/>
      <c r="TWQ85" s="267"/>
      <c r="TWR85" s="268"/>
      <c r="TWS85" s="267"/>
      <c r="TWT85" s="268"/>
      <c r="TWU85" s="267"/>
      <c r="TWV85" s="268"/>
      <c r="TWW85" s="267"/>
      <c r="TWX85" s="268"/>
      <c r="TWY85" s="267"/>
      <c r="TWZ85" s="268"/>
      <c r="TXA85" s="267"/>
      <c r="TXB85" s="268"/>
      <c r="TXC85" s="267"/>
      <c r="TXD85" s="268"/>
      <c r="TXE85" s="267"/>
      <c r="TXF85" s="268"/>
      <c r="TXG85" s="267"/>
      <c r="TXH85" s="268"/>
      <c r="TXI85" s="267"/>
      <c r="TXJ85" s="268"/>
      <c r="TXK85" s="267"/>
      <c r="TXL85" s="268"/>
      <c r="TXM85" s="267"/>
      <c r="TXN85" s="268"/>
      <c r="TXO85" s="267"/>
      <c r="TXP85" s="268"/>
      <c r="TXQ85" s="267"/>
      <c r="TXR85" s="268"/>
      <c r="TXS85" s="267"/>
      <c r="TXT85" s="268"/>
      <c r="TXU85" s="267"/>
      <c r="TXV85" s="268"/>
      <c r="TXW85" s="267"/>
      <c r="TXX85" s="268"/>
      <c r="TXY85" s="267"/>
      <c r="TXZ85" s="268"/>
      <c r="TYA85" s="267"/>
      <c r="TYB85" s="268"/>
      <c r="TYC85" s="267"/>
      <c r="TYD85" s="268"/>
      <c r="TYE85" s="267"/>
      <c r="TYF85" s="268"/>
      <c r="TYG85" s="267"/>
      <c r="TYH85" s="268"/>
      <c r="TYI85" s="267"/>
      <c r="TYJ85" s="268"/>
      <c r="TYK85" s="267"/>
      <c r="TYL85" s="268"/>
      <c r="TYM85" s="267"/>
      <c r="TYN85" s="268"/>
      <c r="TYO85" s="267"/>
      <c r="TYP85" s="268"/>
      <c r="TYQ85" s="267"/>
      <c r="TYR85" s="268"/>
      <c r="TYS85" s="267"/>
      <c r="TYT85" s="268"/>
      <c r="TYU85" s="267"/>
      <c r="TYV85" s="268"/>
      <c r="TYW85" s="267"/>
      <c r="TYX85" s="268"/>
      <c r="TYY85" s="267"/>
      <c r="TYZ85" s="268"/>
      <c r="TZA85" s="267"/>
      <c r="TZB85" s="268"/>
      <c r="TZC85" s="267"/>
      <c r="TZD85" s="268"/>
      <c r="TZE85" s="267"/>
      <c r="TZF85" s="268"/>
      <c r="TZG85" s="267"/>
      <c r="TZH85" s="268"/>
      <c r="TZI85" s="267"/>
      <c r="TZJ85" s="268"/>
      <c r="TZK85" s="267"/>
      <c r="TZL85" s="268"/>
      <c r="TZM85" s="267"/>
      <c r="TZN85" s="268"/>
      <c r="TZO85" s="267"/>
      <c r="TZP85" s="268"/>
      <c r="TZQ85" s="267"/>
      <c r="TZR85" s="268"/>
      <c r="TZS85" s="267"/>
      <c r="TZT85" s="268"/>
      <c r="TZU85" s="267"/>
      <c r="TZV85" s="268"/>
      <c r="TZW85" s="267"/>
      <c r="TZX85" s="268"/>
      <c r="TZY85" s="267"/>
      <c r="TZZ85" s="268"/>
      <c r="UAA85" s="267"/>
      <c r="UAB85" s="268"/>
      <c r="UAC85" s="267"/>
      <c r="UAD85" s="268"/>
      <c r="UAE85" s="267"/>
      <c r="UAF85" s="268"/>
      <c r="UAG85" s="267"/>
      <c r="UAH85" s="268"/>
      <c r="UAI85" s="267"/>
      <c r="UAJ85" s="268"/>
      <c r="UAK85" s="267"/>
      <c r="UAL85" s="268"/>
      <c r="UAM85" s="267"/>
      <c r="UAN85" s="268"/>
      <c r="UAO85" s="267"/>
      <c r="UAP85" s="268"/>
      <c r="UAQ85" s="267"/>
      <c r="UAR85" s="268"/>
      <c r="UAS85" s="267"/>
      <c r="UAT85" s="268"/>
      <c r="UAU85" s="267"/>
      <c r="UAV85" s="268"/>
      <c r="UAW85" s="267"/>
      <c r="UAX85" s="268"/>
      <c r="UAY85" s="267"/>
      <c r="UAZ85" s="268"/>
      <c r="UBA85" s="267"/>
      <c r="UBB85" s="268"/>
      <c r="UBC85" s="267"/>
      <c r="UBD85" s="268"/>
      <c r="UBE85" s="267"/>
      <c r="UBF85" s="268"/>
      <c r="UBG85" s="267"/>
      <c r="UBH85" s="268"/>
      <c r="UBI85" s="267"/>
      <c r="UBJ85" s="268"/>
      <c r="UBK85" s="267"/>
      <c r="UBL85" s="268"/>
      <c r="UBM85" s="267"/>
      <c r="UBN85" s="268"/>
      <c r="UBO85" s="267"/>
      <c r="UBP85" s="268"/>
      <c r="UBQ85" s="267"/>
      <c r="UBR85" s="268"/>
      <c r="UBS85" s="267"/>
      <c r="UBT85" s="268"/>
      <c r="UBU85" s="267"/>
      <c r="UBV85" s="268"/>
      <c r="UBW85" s="267"/>
      <c r="UBX85" s="268"/>
      <c r="UBY85" s="267"/>
      <c r="UBZ85" s="268"/>
      <c r="UCA85" s="267"/>
      <c r="UCB85" s="268"/>
      <c r="UCC85" s="267"/>
      <c r="UCD85" s="268"/>
      <c r="UCE85" s="267"/>
      <c r="UCF85" s="268"/>
      <c r="UCG85" s="267"/>
      <c r="UCH85" s="268"/>
      <c r="UCI85" s="267"/>
      <c r="UCJ85" s="268"/>
      <c r="UCK85" s="267"/>
      <c r="UCL85" s="268"/>
      <c r="UCM85" s="267"/>
      <c r="UCN85" s="268"/>
      <c r="UCO85" s="267"/>
      <c r="UCP85" s="268"/>
      <c r="UCQ85" s="267"/>
      <c r="UCR85" s="268"/>
      <c r="UCS85" s="267"/>
      <c r="UCT85" s="268"/>
      <c r="UCU85" s="267"/>
      <c r="UCV85" s="268"/>
      <c r="UCW85" s="267"/>
      <c r="UCX85" s="268"/>
      <c r="UCY85" s="267"/>
      <c r="UCZ85" s="268"/>
      <c r="UDA85" s="267"/>
      <c r="UDB85" s="268"/>
      <c r="UDC85" s="267"/>
      <c r="UDD85" s="268"/>
      <c r="UDE85" s="267"/>
      <c r="UDF85" s="268"/>
      <c r="UDG85" s="267"/>
      <c r="UDH85" s="268"/>
      <c r="UDI85" s="267"/>
      <c r="UDJ85" s="268"/>
      <c r="UDK85" s="267"/>
      <c r="UDL85" s="268"/>
      <c r="UDM85" s="267"/>
      <c r="UDN85" s="268"/>
      <c r="UDO85" s="267"/>
      <c r="UDP85" s="268"/>
      <c r="UDQ85" s="267"/>
      <c r="UDR85" s="268"/>
      <c r="UDS85" s="267"/>
      <c r="UDT85" s="268"/>
      <c r="UDU85" s="267"/>
      <c r="UDV85" s="268"/>
      <c r="UDW85" s="267"/>
      <c r="UDX85" s="268"/>
      <c r="UDY85" s="267"/>
      <c r="UDZ85" s="268"/>
      <c r="UEA85" s="267"/>
      <c r="UEB85" s="268"/>
      <c r="UEC85" s="267"/>
      <c r="UED85" s="268"/>
      <c r="UEE85" s="267"/>
      <c r="UEF85" s="268"/>
      <c r="UEG85" s="267"/>
      <c r="UEH85" s="268"/>
      <c r="UEI85" s="267"/>
      <c r="UEJ85" s="268"/>
      <c r="UEK85" s="267"/>
      <c r="UEL85" s="268"/>
      <c r="UEM85" s="267"/>
      <c r="UEN85" s="268"/>
      <c r="UEO85" s="267"/>
      <c r="UEP85" s="268"/>
      <c r="UEQ85" s="267"/>
      <c r="UER85" s="268"/>
      <c r="UES85" s="267"/>
      <c r="UET85" s="268"/>
      <c r="UEU85" s="267"/>
      <c r="UEV85" s="268"/>
      <c r="UEW85" s="267"/>
      <c r="UEX85" s="268"/>
      <c r="UEY85" s="267"/>
      <c r="UEZ85" s="268"/>
      <c r="UFA85" s="267"/>
      <c r="UFB85" s="268"/>
      <c r="UFC85" s="267"/>
      <c r="UFD85" s="268"/>
      <c r="UFE85" s="267"/>
      <c r="UFF85" s="268"/>
      <c r="UFG85" s="267"/>
      <c r="UFH85" s="268"/>
      <c r="UFI85" s="267"/>
      <c r="UFJ85" s="268"/>
      <c r="UFK85" s="267"/>
      <c r="UFL85" s="268"/>
      <c r="UFM85" s="267"/>
      <c r="UFN85" s="268"/>
      <c r="UFO85" s="267"/>
      <c r="UFP85" s="268"/>
      <c r="UFQ85" s="267"/>
      <c r="UFR85" s="268"/>
      <c r="UFS85" s="267"/>
      <c r="UFT85" s="268"/>
      <c r="UFU85" s="267"/>
      <c r="UFV85" s="268"/>
      <c r="UFW85" s="267"/>
      <c r="UFX85" s="268"/>
      <c r="UFY85" s="267"/>
      <c r="UFZ85" s="268"/>
      <c r="UGA85" s="267"/>
      <c r="UGB85" s="268"/>
      <c r="UGC85" s="267"/>
      <c r="UGD85" s="268"/>
      <c r="UGE85" s="267"/>
      <c r="UGF85" s="268"/>
      <c r="UGG85" s="267"/>
      <c r="UGH85" s="268"/>
      <c r="UGI85" s="267"/>
      <c r="UGJ85" s="268"/>
      <c r="UGK85" s="267"/>
      <c r="UGL85" s="268"/>
      <c r="UGM85" s="267"/>
      <c r="UGN85" s="268"/>
      <c r="UGO85" s="267"/>
      <c r="UGP85" s="268"/>
      <c r="UGQ85" s="267"/>
      <c r="UGR85" s="268"/>
      <c r="UGS85" s="267"/>
      <c r="UGT85" s="268"/>
      <c r="UGU85" s="267"/>
      <c r="UGV85" s="268"/>
      <c r="UGW85" s="267"/>
      <c r="UGX85" s="268"/>
      <c r="UGY85" s="267"/>
      <c r="UGZ85" s="268"/>
      <c r="UHA85" s="267"/>
      <c r="UHB85" s="268"/>
      <c r="UHC85" s="267"/>
      <c r="UHD85" s="268"/>
      <c r="UHE85" s="267"/>
      <c r="UHF85" s="268"/>
      <c r="UHG85" s="267"/>
      <c r="UHH85" s="268"/>
      <c r="UHI85" s="267"/>
      <c r="UHJ85" s="268"/>
      <c r="UHK85" s="267"/>
      <c r="UHL85" s="268"/>
      <c r="UHM85" s="267"/>
      <c r="UHN85" s="268"/>
      <c r="UHO85" s="267"/>
      <c r="UHP85" s="268"/>
      <c r="UHQ85" s="267"/>
      <c r="UHR85" s="268"/>
      <c r="UHS85" s="267"/>
      <c r="UHT85" s="268"/>
      <c r="UHU85" s="267"/>
      <c r="UHV85" s="268"/>
      <c r="UHW85" s="267"/>
      <c r="UHX85" s="268"/>
      <c r="UHY85" s="267"/>
      <c r="UHZ85" s="268"/>
      <c r="UIA85" s="267"/>
      <c r="UIB85" s="268"/>
      <c r="UIC85" s="267"/>
      <c r="UID85" s="268"/>
      <c r="UIE85" s="267"/>
      <c r="UIF85" s="268"/>
      <c r="UIG85" s="267"/>
      <c r="UIH85" s="268"/>
      <c r="UII85" s="267"/>
      <c r="UIJ85" s="268"/>
      <c r="UIK85" s="267"/>
      <c r="UIL85" s="268"/>
      <c r="UIM85" s="267"/>
      <c r="UIN85" s="268"/>
      <c r="UIO85" s="267"/>
      <c r="UIP85" s="268"/>
      <c r="UIQ85" s="267"/>
      <c r="UIR85" s="268"/>
      <c r="UIS85" s="267"/>
      <c r="UIT85" s="268"/>
      <c r="UIU85" s="267"/>
      <c r="UIV85" s="268"/>
      <c r="UIW85" s="267"/>
      <c r="UIX85" s="268"/>
      <c r="UIY85" s="267"/>
      <c r="UIZ85" s="268"/>
      <c r="UJA85" s="267"/>
      <c r="UJB85" s="268"/>
      <c r="UJC85" s="267"/>
      <c r="UJD85" s="268"/>
      <c r="UJE85" s="267"/>
      <c r="UJF85" s="268"/>
      <c r="UJG85" s="267"/>
      <c r="UJH85" s="268"/>
      <c r="UJI85" s="267"/>
      <c r="UJJ85" s="268"/>
      <c r="UJK85" s="267"/>
      <c r="UJL85" s="268"/>
      <c r="UJM85" s="267"/>
      <c r="UJN85" s="268"/>
      <c r="UJO85" s="267"/>
      <c r="UJP85" s="268"/>
      <c r="UJQ85" s="267"/>
      <c r="UJR85" s="268"/>
      <c r="UJS85" s="267"/>
      <c r="UJT85" s="268"/>
      <c r="UJU85" s="267"/>
      <c r="UJV85" s="268"/>
      <c r="UJW85" s="267"/>
      <c r="UJX85" s="268"/>
      <c r="UJY85" s="267"/>
      <c r="UJZ85" s="268"/>
      <c r="UKA85" s="267"/>
      <c r="UKB85" s="268"/>
      <c r="UKC85" s="267"/>
      <c r="UKD85" s="268"/>
      <c r="UKE85" s="267"/>
      <c r="UKF85" s="268"/>
      <c r="UKG85" s="267"/>
      <c r="UKH85" s="268"/>
      <c r="UKI85" s="267"/>
      <c r="UKJ85" s="268"/>
      <c r="UKK85" s="267"/>
      <c r="UKL85" s="268"/>
      <c r="UKM85" s="267"/>
      <c r="UKN85" s="268"/>
      <c r="UKO85" s="267"/>
      <c r="UKP85" s="268"/>
      <c r="UKQ85" s="267"/>
      <c r="UKR85" s="268"/>
      <c r="UKS85" s="267"/>
      <c r="UKT85" s="268"/>
      <c r="UKU85" s="267"/>
      <c r="UKV85" s="268"/>
      <c r="UKW85" s="267"/>
      <c r="UKX85" s="268"/>
      <c r="UKY85" s="267"/>
      <c r="UKZ85" s="268"/>
      <c r="ULA85" s="267"/>
      <c r="ULB85" s="268"/>
      <c r="ULC85" s="267"/>
      <c r="ULD85" s="268"/>
      <c r="ULE85" s="267"/>
      <c r="ULF85" s="268"/>
      <c r="ULG85" s="267"/>
      <c r="ULH85" s="268"/>
      <c r="ULI85" s="267"/>
      <c r="ULJ85" s="268"/>
      <c r="ULK85" s="267"/>
      <c r="ULL85" s="268"/>
      <c r="ULM85" s="267"/>
      <c r="ULN85" s="268"/>
      <c r="ULO85" s="267"/>
      <c r="ULP85" s="268"/>
      <c r="ULQ85" s="267"/>
      <c r="ULR85" s="268"/>
      <c r="ULS85" s="267"/>
      <c r="ULT85" s="268"/>
      <c r="ULU85" s="267"/>
      <c r="ULV85" s="268"/>
      <c r="ULW85" s="267"/>
      <c r="ULX85" s="268"/>
      <c r="ULY85" s="267"/>
      <c r="ULZ85" s="268"/>
      <c r="UMA85" s="267"/>
      <c r="UMB85" s="268"/>
      <c r="UMC85" s="267"/>
      <c r="UMD85" s="268"/>
      <c r="UME85" s="267"/>
      <c r="UMF85" s="268"/>
      <c r="UMG85" s="267"/>
      <c r="UMH85" s="268"/>
      <c r="UMI85" s="267"/>
      <c r="UMJ85" s="268"/>
      <c r="UMK85" s="267"/>
      <c r="UML85" s="268"/>
      <c r="UMM85" s="267"/>
      <c r="UMN85" s="268"/>
      <c r="UMO85" s="267"/>
      <c r="UMP85" s="268"/>
      <c r="UMQ85" s="267"/>
      <c r="UMR85" s="268"/>
      <c r="UMS85" s="267"/>
      <c r="UMT85" s="268"/>
      <c r="UMU85" s="267"/>
      <c r="UMV85" s="268"/>
      <c r="UMW85" s="267"/>
      <c r="UMX85" s="268"/>
      <c r="UMY85" s="267"/>
      <c r="UMZ85" s="268"/>
      <c r="UNA85" s="267"/>
      <c r="UNB85" s="268"/>
      <c r="UNC85" s="267"/>
      <c r="UND85" s="268"/>
      <c r="UNE85" s="267"/>
      <c r="UNF85" s="268"/>
      <c r="UNG85" s="267"/>
      <c r="UNH85" s="268"/>
      <c r="UNI85" s="267"/>
      <c r="UNJ85" s="268"/>
      <c r="UNK85" s="267"/>
      <c r="UNL85" s="268"/>
      <c r="UNM85" s="267"/>
      <c r="UNN85" s="268"/>
      <c r="UNO85" s="267"/>
      <c r="UNP85" s="268"/>
      <c r="UNQ85" s="267"/>
      <c r="UNR85" s="268"/>
      <c r="UNS85" s="267"/>
      <c r="UNT85" s="268"/>
      <c r="UNU85" s="267"/>
      <c r="UNV85" s="268"/>
      <c r="UNW85" s="267"/>
      <c r="UNX85" s="268"/>
      <c r="UNY85" s="267"/>
      <c r="UNZ85" s="268"/>
      <c r="UOA85" s="267"/>
      <c r="UOB85" s="268"/>
      <c r="UOC85" s="267"/>
      <c r="UOD85" s="268"/>
      <c r="UOE85" s="267"/>
      <c r="UOF85" s="268"/>
      <c r="UOG85" s="267"/>
      <c r="UOH85" s="268"/>
      <c r="UOI85" s="267"/>
      <c r="UOJ85" s="268"/>
      <c r="UOK85" s="267"/>
      <c r="UOL85" s="268"/>
      <c r="UOM85" s="267"/>
      <c r="UON85" s="268"/>
      <c r="UOO85" s="267"/>
      <c r="UOP85" s="268"/>
      <c r="UOQ85" s="267"/>
      <c r="UOR85" s="268"/>
      <c r="UOS85" s="267"/>
      <c r="UOT85" s="268"/>
      <c r="UOU85" s="267"/>
      <c r="UOV85" s="268"/>
      <c r="UOW85" s="267"/>
      <c r="UOX85" s="268"/>
      <c r="UOY85" s="267"/>
      <c r="UOZ85" s="268"/>
      <c r="UPA85" s="267"/>
      <c r="UPB85" s="268"/>
      <c r="UPC85" s="267"/>
      <c r="UPD85" s="268"/>
      <c r="UPE85" s="267"/>
      <c r="UPF85" s="268"/>
      <c r="UPG85" s="267"/>
      <c r="UPH85" s="268"/>
      <c r="UPI85" s="267"/>
      <c r="UPJ85" s="268"/>
      <c r="UPK85" s="267"/>
      <c r="UPL85" s="268"/>
      <c r="UPM85" s="267"/>
      <c r="UPN85" s="268"/>
      <c r="UPO85" s="267"/>
      <c r="UPP85" s="268"/>
      <c r="UPQ85" s="267"/>
      <c r="UPR85" s="268"/>
      <c r="UPS85" s="267"/>
      <c r="UPT85" s="268"/>
      <c r="UPU85" s="267"/>
      <c r="UPV85" s="268"/>
      <c r="UPW85" s="267"/>
      <c r="UPX85" s="268"/>
      <c r="UPY85" s="267"/>
      <c r="UPZ85" s="268"/>
      <c r="UQA85" s="267"/>
      <c r="UQB85" s="268"/>
      <c r="UQC85" s="267"/>
      <c r="UQD85" s="268"/>
      <c r="UQE85" s="267"/>
      <c r="UQF85" s="268"/>
      <c r="UQG85" s="267"/>
      <c r="UQH85" s="268"/>
      <c r="UQI85" s="267"/>
      <c r="UQJ85" s="268"/>
      <c r="UQK85" s="267"/>
      <c r="UQL85" s="268"/>
      <c r="UQM85" s="267"/>
      <c r="UQN85" s="268"/>
      <c r="UQO85" s="267"/>
      <c r="UQP85" s="268"/>
      <c r="UQQ85" s="267"/>
      <c r="UQR85" s="268"/>
      <c r="UQS85" s="267"/>
      <c r="UQT85" s="268"/>
      <c r="UQU85" s="267"/>
      <c r="UQV85" s="268"/>
      <c r="UQW85" s="267"/>
      <c r="UQX85" s="268"/>
      <c r="UQY85" s="267"/>
      <c r="UQZ85" s="268"/>
      <c r="URA85" s="267"/>
      <c r="URB85" s="268"/>
      <c r="URC85" s="267"/>
      <c r="URD85" s="268"/>
      <c r="URE85" s="267"/>
      <c r="URF85" s="268"/>
      <c r="URG85" s="267"/>
      <c r="URH85" s="268"/>
      <c r="URI85" s="267"/>
      <c r="URJ85" s="268"/>
      <c r="URK85" s="267"/>
      <c r="URL85" s="268"/>
      <c r="URM85" s="267"/>
      <c r="URN85" s="268"/>
      <c r="URO85" s="267"/>
      <c r="URP85" s="268"/>
      <c r="URQ85" s="267"/>
      <c r="URR85" s="268"/>
      <c r="URS85" s="267"/>
      <c r="URT85" s="268"/>
      <c r="URU85" s="267"/>
      <c r="URV85" s="268"/>
      <c r="URW85" s="267"/>
      <c r="URX85" s="268"/>
      <c r="URY85" s="267"/>
      <c r="URZ85" s="268"/>
      <c r="USA85" s="267"/>
      <c r="USB85" s="268"/>
      <c r="USC85" s="267"/>
      <c r="USD85" s="268"/>
      <c r="USE85" s="267"/>
      <c r="USF85" s="268"/>
      <c r="USG85" s="267"/>
      <c r="USH85" s="268"/>
      <c r="USI85" s="267"/>
      <c r="USJ85" s="268"/>
      <c r="USK85" s="267"/>
      <c r="USL85" s="268"/>
      <c r="USM85" s="267"/>
      <c r="USN85" s="268"/>
      <c r="USO85" s="267"/>
      <c r="USP85" s="268"/>
      <c r="USQ85" s="267"/>
      <c r="USR85" s="268"/>
      <c r="USS85" s="267"/>
      <c r="UST85" s="268"/>
      <c r="USU85" s="267"/>
      <c r="USV85" s="268"/>
      <c r="USW85" s="267"/>
      <c r="USX85" s="268"/>
      <c r="USY85" s="267"/>
      <c r="USZ85" s="268"/>
      <c r="UTA85" s="267"/>
      <c r="UTB85" s="268"/>
      <c r="UTC85" s="267"/>
      <c r="UTD85" s="268"/>
      <c r="UTE85" s="267"/>
      <c r="UTF85" s="268"/>
      <c r="UTG85" s="267"/>
      <c r="UTH85" s="268"/>
      <c r="UTI85" s="267"/>
      <c r="UTJ85" s="268"/>
      <c r="UTK85" s="267"/>
      <c r="UTL85" s="268"/>
      <c r="UTM85" s="267"/>
      <c r="UTN85" s="268"/>
      <c r="UTO85" s="267"/>
      <c r="UTP85" s="268"/>
      <c r="UTQ85" s="267"/>
      <c r="UTR85" s="268"/>
      <c r="UTS85" s="267"/>
      <c r="UTT85" s="268"/>
      <c r="UTU85" s="267"/>
      <c r="UTV85" s="268"/>
      <c r="UTW85" s="267"/>
      <c r="UTX85" s="268"/>
      <c r="UTY85" s="267"/>
      <c r="UTZ85" s="268"/>
      <c r="UUA85" s="267"/>
      <c r="UUB85" s="268"/>
      <c r="UUC85" s="267"/>
      <c r="UUD85" s="268"/>
      <c r="UUE85" s="267"/>
      <c r="UUF85" s="268"/>
      <c r="UUG85" s="267"/>
      <c r="UUH85" s="268"/>
      <c r="UUI85" s="267"/>
      <c r="UUJ85" s="268"/>
      <c r="UUK85" s="267"/>
      <c r="UUL85" s="268"/>
      <c r="UUM85" s="267"/>
      <c r="UUN85" s="268"/>
      <c r="UUO85" s="267"/>
      <c r="UUP85" s="268"/>
      <c r="UUQ85" s="267"/>
      <c r="UUR85" s="268"/>
      <c r="UUS85" s="267"/>
      <c r="UUT85" s="268"/>
      <c r="UUU85" s="267"/>
      <c r="UUV85" s="268"/>
      <c r="UUW85" s="267"/>
      <c r="UUX85" s="268"/>
      <c r="UUY85" s="267"/>
      <c r="UUZ85" s="268"/>
      <c r="UVA85" s="267"/>
      <c r="UVB85" s="268"/>
      <c r="UVC85" s="267"/>
      <c r="UVD85" s="268"/>
      <c r="UVE85" s="267"/>
      <c r="UVF85" s="268"/>
      <c r="UVG85" s="267"/>
      <c r="UVH85" s="268"/>
      <c r="UVI85" s="267"/>
      <c r="UVJ85" s="268"/>
      <c r="UVK85" s="267"/>
      <c r="UVL85" s="268"/>
      <c r="UVM85" s="267"/>
      <c r="UVN85" s="268"/>
      <c r="UVO85" s="267"/>
      <c r="UVP85" s="268"/>
      <c r="UVQ85" s="267"/>
      <c r="UVR85" s="268"/>
      <c r="UVS85" s="267"/>
      <c r="UVT85" s="268"/>
      <c r="UVU85" s="267"/>
      <c r="UVV85" s="268"/>
      <c r="UVW85" s="267"/>
      <c r="UVX85" s="268"/>
      <c r="UVY85" s="267"/>
      <c r="UVZ85" s="268"/>
      <c r="UWA85" s="267"/>
      <c r="UWB85" s="268"/>
      <c r="UWC85" s="267"/>
      <c r="UWD85" s="268"/>
      <c r="UWE85" s="267"/>
      <c r="UWF85" s="268"/>
      <c r="UWG85" s="267"/>
      <c r="UWH85" s="268"/>
      <c r="UWI85" s="267"/>
      <c r="UWJ85" s="268"/>
      <c r="UWK85" s="267"/>
      <c r="UWL85" s="268"/>
      <c r="UWM85" s="267"/>
      <c r="UWN85" s="268"/>
      <c r="UWO85" s="267"/>
      <c r="UWP85" s="268"/>
      <c r="UWQ85" s="267"/>
      <c r="UWR85" s="268"/>
      <c r="UWS85" s="267"/>
      <c r="UWT85" s="268"/>
      <c r="UWU85" s="267"/>
      <c r="UWV85" s="268"/>
      <c r="UWW85" s="267"/>
      <c r="UWX85" s="268"/>
      <c r="UWY85" s="267"/>
      <c r="UWZ85" s="268"/>
      <c r="UXA85" s="267"/>
      <c r="UXB85" s="268"/>
      <c r="UXC85" s="267"/>
      <c r="UXD85" s="268"/>
      <c r="UXE85" s="267"/>
      <c r="UXF85" s="268"/>
      <c r="UXG85" s="267"/>
      <c r="UXH85" s="268"/>
      <c r="UXI85" s="267"/>
      <c r="UXJ85" s="268"/>
      <c r="UXK85" s="267"/>
      <c r="UXL85" s="268"/>
      <c r="UXM85" s="267"/>
      <c r="UXN85" s="268"/>
      <c r="UXO85" s="267"/>
      <c r="UXP85" s="268"/>
      <c r="UXQ85" s="267"/>
      <c r="UXR85" s="268"/>
      <c r="UXS85" s="267"/>
      <c r="UXT85" s="268"/>
      <c r="UXU85" s="267"/>
      <c r="UXV85" s="268"/>
      <c r="UXW85" s="267"/>
      <c r="UXX85" s="268"/>
      <c r="UXY85" s="267"/>
      <c r="UXZ85" s="268"/>
      <c r="UYA85" s="267"/>
      <c r="UYB85" s="268"/>
      <c r="UYC85" s="267"/>
      <c r="UYD85" s="268"/>
      <c r="UYE85" s="267"/>
      <c r="UYF85" s="268"/>
      <c r="UYG85" s="267"/>
      <c r="UYH85" s="268"/>
      <c r="UYI85" s="267"/>
      <c r="UYJ85" s="268"/>
      <c r="UYK85" s="267"/>
      <c r="UYL85" s="268"/>
      <c r="UYM85" s="267"/>
      <c r="UYN85" s="268"/>
      <c r="UYO85" s="267"/>
      <c r="UYP85" s="268"/>
      <c r="UYQ85" s="267"/>
      <c r="UYR85" s="268"/>
      <c r="UYS85" s="267"/>
      <c r="UYT85" s="268"/>
      <c r="UYU85" s="267"/>
      <c r="UYV85" s="268"/>
      <c r="UYW85" s="267"/>
      <c r="UYX85" s="268"/>
      <c r="UYY85" s="267"/>
      <c r="UYZ85" s="268"/>
      <c r="UZA85" s="267"/>
      <c r="UZB85" s="268"/>
      <c r="UZC85" s="267"/>
      <c r="UZD85" s="268"/>
      <c r="UZE85" s="267"/>
      <c r="UZF85" s="268"/>
      <c r="UZG85" s="267"/>
      <c r="UZH85" s="268"/>
      <c r="UZI85" s="267"/>
      <c r="UZJ85" s="268"/>
      <c r="UZK85" s="267"/>
      <c r="UZL85" s="268"/>
      <c r="UZM85" s="267"/>
      <c r="UZN85" s="268"/>
      <c r="UZO85" s="267"/>
      <c r="UZP85" s="268"/>
      <c r="UZQ85" s="267"/>
      <c r="UZR85" s="268"/>
      <c r="UZS85" s="267"/>
      <c r="UZT85" s="268"/>
      <c r="UZU85" s="267"/>
      <c r="UZV85" s="268"/>
      <c r="UZW85" s="267"/>
      <c r="UZX85" s="268"/>
      <c r="UZY85" s="267"/>
      <c r="UZZ85" s="268"/>
      <c r="VAA85" s="267"/>
      <c r="VAB85" s="268"/>
      <c r="VAC85" s="267"/>
      <c r="VAD85" s="268"/>
      <c r="VAE85" s="267"/>
      <c r="VAF85" s="268"/>
      <c r="VAG85" s="267"/>
      <c r="VAH85" s="268"/>
      <c r="VAI85" s="267"/>
      <c r="VAJ85" s="268"/>
      <c r="VAK85" s="267"/>
      <c r="VAL85" s="268"/>
      <c r="VAM85" s="267"/>
      <c r="VAN85" s="268"/>
      <c r="VAO85" s="267"/>
      <c r="VAP85" s="268"/>
      <c r="VAQ85" s="267"/>
      <c r="VAR85" s="268"/>
      <c r="VAS85" s="267"/>
      <c r="VAT85" s="268"/>
      <c r="VAU85" s="267"/>
      <c r="VAV85" s="268"/>
      <c r="VAW85" s="267"/>
      <c r="VAX85" s="268"/>
      <c r="VAY85" s="267"/>
      <c r="VAZ85" s="268"/>
      <c r="VBA85" s="267"/>
      <c r="VBB85" s="268"/>
      <c r="VBC85" s="267"/>
      <c r="VBD85" s="268"/>
      <c r="VBE85" s="267"/>
      <c r="VBF85" s="268"/>
      <c r="VBG85" s="267"/>
      <c r="VBH85" s="268"/>
      <c r="VBI85" s="267"/>
      <c r="VBJ85" s="268"/>
      <c r="VBK85" s="267"/>
      <c r="VBL85" s="268"/>
      <c r="VBM85" s="267"/>
      <c r="VBN85" s="268"/>
      <c r="VBO85" s="267"/>
      <c r="VBP85" s="268"/>
      <c r="VBQ85" s="267"/>
      <c r="VBR85" s="268"/>
      <c r="VBS85" s="267"/>
      <c r="VBT85" s="268"/>
      <c r="VBU85" s="267"/>
      <c r="VBV85" s="268"/>
      <c r="VBW85" s="267"/>
      <c r="VBX85" s="268"/>
      <c r="VBY85" s="267"/>
      <c r="VBZ85" s="268"/>
      <c r="VCA85" s="267"/>
      <c r="VCB85" s="268"/>
      <c r="VCC85" s="267"/>
      <c r="VCD85" s="268"/>
      <c r="VCE85" s="267"/>
      <c r="VCF85" s="268"/>
      <c r="VCG85" s="267"/>
      <c r="VCH85" s="268"/>
      <c r="VCI85" s="267"/>
      <c r="VCJ85" s="268"/>
      <c r="VCK85" s="267"/>
      <c r="VCL85" s="268"/>
      <c r="VCM85" s="267"/>
      <c r="VCN85" s="268"/>
      <c r="VCO85" s="267"/>
      <c r="VCP85" s="268"/>
      <c r="VCQ85" s="267"/>
      <c r="VCR85" s="268"/>
      <c r="VCS85" s="267"/>
      <c r="VCT85" s="268"/>
      <c r="VCU85" s="267"/>
      <c r="VCV85" s="268"/>
      <c r="VCW85" s="267"/>
      <c r="VCX85" s="268"/>
      <c r="VCY85" s="267"/>
      <c r="VCZ85" s="268"/>
      <c r="VDA85" s="267"/>
      <c r="VDB85" s="268"/>
      <c r="VDC85" s="267"/>
      <c r="VDD85" s="268"/>
      <c r="VDE85" s="267"/>
      <c r="VDF85" s="268"/>
      <c r="VDG85" s="267"/>
      <c r="VDH85" s="268"/>
      <c r="VDI85" s="267"/>
      <c r="VDJ85" s="268"/>
      <c r="VDK85" s="267"/>
      <c r="VDL85" s="268"/>
      <c r="VDM85" s="267"/>
      <c r="VDN85" s="268"/>
      <c r="VDO85" s="267"/>
      <c r="VDP85" s="268"/>
      <c r="VDQ85" s="267"/>
      <c r="VDR85" s="268"/>
      <c r="VDS85" s="267"/>
      <c r="VDT85" s="268"/>
      <c r="VDU85" s="267"/>
      <c r="VDV85" s="268"/>
      <c r="VDW85" s="267"/>
      <c r="VDX85" s="268"/>
      <c r="VDY85" s="267"/>
      <c r="VDZ85" s="268"/>
      <c r="VEA85" s="267"/>
      <c r="VEB85" s="268"/>
      <c r="VEC85" s="267"/>
      <c r="VED85" s="268"/>
      <c r="VEE85" s="267"/>
      <c r="VEF85" s="268"/>
      <c r="VEG85" s="267"/>
      <c r="VEH85" s="268"/>
      <c r="VEI85" s="267"/>
      <c r="VEJ85" s="268"/>
      <c r="VEK85" s="267"/>
      <c r="VEL85" s="268"/>
      <c r="VEM85" s="267"/>
      <c r="VEN85" s="268"/>
      <c r="VEO85" s="267"/>
      <c r="VEP85" s="268"/>
      <c r="VEQ85" s="267"/>
      <c r="VER85" s="268"/>
      <c r="VES85" s="267"/>
      <c r="VET85" s="268"/>
      <c r="VEU85" s="267"/>
      <c r="VEV85" s="268"/>
      <c r="VEW85" s="267"/>
      <c r="VEX85" s="268"/>
      <c r="VEY85" s="267"/>
      <c r="VEZ85" s="268"/>
      <c r="VFA85" s="267"/>
      <c r="VFB85" s="268"/>
      <c r="VFC85" s="267"/>
      <c r="VFD85" s="268"/>
      <c r="VFE85" s="267"/>
      <c r="VFF85" s="268"/>
      <c r="VFG85" s="267"/>
      <c r="VFH85" s="268"/>
      <c r="VFI85" s="267"/>
      <c r="VFJ85" s="268"/>
      <c r="VFK85" s="267"/>
      <c r="VFL85" s="268"/>
      <c r="VFM85" s="267"/>
      <c r="VFN85" s="268"/>
      <c r="VFO85" s="267"/>
      <c r="VFP85" s="268"/>
      <c r="VFQ85" s="267"/>
      <c r="VFR85" s="268"/>
      <c r="VFS85" s="267"/>
      <c r="VFT85" s="268"/>
      <c r="VFU85" s="267"/>
      <c r="VFV85" s="268"/>
      <c r="VFW85" s="267"/>
      <c r="VFX85" s="268"/>
      <c r="VFY85" s="267"/>
      <c r="VFZ85" s="268"/>
      <c r="VGA85" s="267"/>
      <c r="VGB85" s="268"/>
      <c r="VGC85" s="267"/>
      <c r="VGD85" s="268"/>
      <c r="VGE85" s="267"/>
      <c r="VGF85" s="268"/>
      <c r="VGG85" s="267"/>
      <c r="VGH85" s="268"/>
      <c r="VGI85" s="267"/>
      <c r="VGJ85" s="268"/>
      <c r="VGK85" s="267"/>
      <c r="VGL85" s="268"/>
      <c r="VGM85" s="267"/>
      <c r="VGN85" s="268"/>
      <c r="VGO85" s="267"/>
      <c r="VGP85" s="268"/>
      <c r="VGQ85" s="267"/>
      <c r="VGR85" s="268"/>
      <c r="VGS85" s="267"/>
      <c r="VGT85" s="268"/>
      <c r="VGU85" s="267"/>
      <c r="VGV85" s="268"/>
      <c r="VGW85" s="267"/>
      <c r="VGX85" s="268"/>
      <c r="VGY85" s="267"/>
      <c r="VGZ85" s="268"/>
      <c r="VHA85" s="267"/>
      <c r="VHB85" s="268"/>
      <c r="VHC85" s="267"/>
      <c r="VHD85" s="268"/>
      <c r="VHE85" s="267"/>
      <c r="VHF85" s="268"/>
      <c r="VHG85" s="267"/>
      <c r="VHH85" s="268"/>
      <c r="VHI85" s="267"/>
      <c r="VHJ85" s="268"/>
      <c r="VHK85" s="267"/>
      <c r="VHL85" s="268"/>
      <c r="VHM85" s="267"/>
      <c r="VHN85" s="268"/>
      <c r="VHO85" s="267"/>
      <c r="VHP85" s="268"/>
      <c r="VHQ85" s="267"/>
      <c r="VHR85" s="268"/>
      <c r="VHS85" s="267"/>
      <c r="VHT85" s="268"/>
      <c r="VHU85" s="267"/>
      <c r="VHV85" s="268"/>
      <c r="VHW85" s="267"/>
      <c r="VHX85" s="268"/>
      <c r="VHY85" s="267"/>
      <c r="VHZ85" s="268"/>
      <c r="VIA85" s="267"/>
      <c r="VIB85" s="268"/>
      <c r="VIC85" s="267"/>
      <c r="VID85" s="268"/>
      <c r="VIE85" s="267"/>
      <c r="VIF85" s="268"/>
      <c r="VIG85" s="267"/>
      <c r="VIH85" s="268"/>
      <c r="VII85" s="267"/>
      <c r="VIJ85" s="268"/>
      <c r="VIK85" s="267"/>
      <c r="VIL85" s="268"/>
      <c r="VIM85" s="267"/>
      <c r="VIN85" s="268"/>
      <c r="VIO85" s="267"/>
      <c r="VIP85" s="268"/>
      <c r="VIQ85" s="267"/>
      <c r="VIR85" s="268"/>
      <c r="VIS85" s="267"/>
      <c r="VIT85" s="268"/>
      <c r="VIU85" s="267"/>
      <c r="VIV85" s="268"/>
      <c r="VIW85" s="267"/>
      <c r="VIX85" s="268"/>
      <c r="VIY85" s="267"/>
      <c r="VIZ85" s="268"/>
      <c r="VJA85" s="267"/>
      <c r="VJB85" s="268"/>
      <c r="VJC85" s="267"/>
      <c r="VJD85" s="268"/>
      <c r="VJE85" s="267"/>
      <c r="VJF85" s="268"/>
      <c r="VJG85" s="267"/>
      <c r="VJH85" s="268"/>
      <c r="VJI85" s="267"/>
      <c r="VJJ85" s="268"/>
      <c r="VJK85" s="267"/>
      <c r="VJL85" s="268"/>
      <c r="VJM85" s="267"/>
      <c r="VJN85" s="268"/>
      <c r="VJO85" s="267"/>
      <c r="VJP85" s="268"/>
      <c r="VJQ85" s="267"/>
      <c r="VJR85" s="268"/>
      <c r="VJS85" s="267"/>
      <c r="VJT85" s="268"/>
      <c r="VJU85" s="267"/>
      <c r="VJV85" s="268"/>
      <c r="VJW85" s="267"/>
      <c r="VJX85" s="268"/>
      <c r="VJY85" s="267"/>
      <c r="VJZ85" s="268"/>
      <c r="VKA85" s="267"/>
      <c r="VKB85" s="268"/>
      <c r="VKC85" s="267"/>
      <c r="VKD85" s="268"/>
      <c r="VKE85" s="267"/>
      <c r="VKF85" s="268"/>
      <c r="VKG85" s="267"/>
      <c r="VKH85" s="268"/>
      <c r="VKI85" s="267"/>
      <c r="VKJ85" s="268"/>
      <c r="VKK85" s="267"/>
      <c r="VKL85" s="268"/>
      <c r="VKM85" s="267"/>
      <c r="VKN85" s="268"/>
      <c r="VKO85" s="267"/>
      <c r="VKP85" s="268"/>
      <c r="VKQ85" s="267"/>
      <c r="VKR85" s="268"/>
      <c r="VKS85" s="267"/>
      <c r="VKT85" s="268"/>
      <c r="VKU85" s="267"/>
      <c r="VKV85" s="268"/>
      <c r="VKW85" s="267"/>
      <c r="VKX85" s="268"/>
      <c r="VKY85" s="267"/>
      <c r="VKZ85" s="268"/>
      <c r="VLA85" s="267"/>
      <c r="VLB85" s="268"/>
      <c r="VLC85" s="267"/>
      <c r="VLD85" s="268"/>
      <c r="VLE85" s="267"/>
      <c r="VLF85" s="268"/>
      <c r="VLG85" s="267"/>
      <c r="VLH85" s="268"/>
      <c r="VLI85" s="267"/>
      <c r="VLJ85" s="268"/>
      <c r="VLK85" s="267"/>
      <c r="VLL85" s="268"/>
      <c r="VLM85" s="267"/>
      <c r="VLN85" s="268"/>
      <c r="VLO85" s="267"/>
      <c r="VLP85" s="268"/>
      <c r="VLQ85" s="267"/>
      <c r="VLR85" s="268"/>
      <c r="VLS85" s="267"/>
      <c r="VLT85" s="268"/>
      <c r="VLU85" s="267"/>
      <c r="VLV85" s="268"/>
      <c r="VLW85" s="267"/>
      <c r="VLX85" s="268"/>
      <c r="VLY85" s="267"/>
      <c r="VLZ85" s="268"/>
      <c r="VMA85" s="267"/>
      <c r="VMB85" s="268"/>
      <c r="VMC85" s="267"/>
      <c r="VMD85" s="268"/>
      <c r="VME85" s="267"/>
      <c r="VMF85" s="268"/>
      <c r="VMG85" s="267"/>
      <c r="VMH85" s="268"/>
      <c r="VMI85" s="267"/>
      <c r="VMJ85" s="268"/>
      <c r="VMK85" s="267"/>
      <c r="VML85" s="268"/>
      <c r="VMM85" s="267"/>
      <c r="VMN85" s="268"/>
      <c r="VMO85" s="267"/>
      <c r="VMP85" s="268"/>
      <c r="VMQ85" s="267"/>
      <c r="VMR85" s="268"/>
      <c r="VMS85" s="267"/>
      <c r="VMT85" s="268"/>
      <c r="VMU85" s="267"/>
      <c r="VMV85" s="268"/>
      <c r="VMW85" s="267"/>
      <c r="VMX85" s="268"/>
      <c r="VMY85" s="267"/>
      <c r="VMZ85" s="268"/>
      <c r="VNA85" s="267"/>
      <c r="VNB85" s="268"/>
      <c r="VNC85" s="267"/>
      <c r="VND85" s="268"/>
      <c r="VNE85" s="267"/>
      <c r="VNF85" s="268"/>
      <c r="VNG85" s="267"/>
      <c r="VNH85" s="268"/>
      <c r="VNI85" s="267"/>
      <c r="VNJ85" s="268"/>
      <c r="VNK85" s="267"/>
      <c r="VNL85" s="268"/>
      <c r="VNM85" s="267"/>
      <c r="VNN85" s="268"/>
      <c r="VNO85" s="267"/>
      <c r="VNP85" s="268"/>
      <c r="VNQ85" s="267"/>
      <c r="VNR85" s="268"/>
      <c r="VNS85" s="267"/>
      <c r="VNT85" s="268"/>
      <c r="VNU85" s="267"/>
      <c r="VNV85" s="268"/>
      <c r="VNW85" s="267"/>
      <c r="VNX85" s="268"/>
      <c r="VNY85" s="267"/>
      <c r="VNZ85" s="268"/>
      <c r="VOA85" s="267"/>
      <c r="VOB85" s="268"/>
      <c r="VOC85" s="267"/>
      <c r="VOD85" s="268"/>
      <c r="VOE85" s="267"/>
      <c r="VOF85" s="268"/>
      <c r="VOG85" s="267"/>
      <c r="VOH85" s="268"/>
      <c r="VOI85" s="267"/>
      <c r="VOJ85" s="268"/>
      <c r="VOK85" s="267"/>
      <c r="VOL85" s="268"/>
      <c r="VOM85" s="267"/>
      <c r="VON85" s="268"/>
      <c r="VOO85" s="267"/>
      <c r="VOP85" s="268"/>
      <c r="VOQ85" s="267"/>
      <c r="VOR85" s="268"/>
      <c r="VOS85" s="267"/>
      <c r="VOT85" s="268"/>
      <c r="VOU85" s="267"/>
      <c r="VOV85" s="268"/>
      <c r="VOW85" s="267"/>
      <c r="VOX85" s="268"/>
      <c r="VOY85" s="267"/>
      <c r="VOZ85" s="268"/>
      <c r="VPA85" s="267"/>
      <c r="VPB85" s="268"/>
      <c r="VPC85" s="267"/>
      <c r="VPD85" s="268"/>
      <c r="VPE85" s="267"/>
      <c r="VPF85" s="268"/>
      <c r="VPG85" s="267"/>
      <c r="VPH85" s="268"/>
      <c r="VPI85" s="267"/>
      <c r="VPJ85" s="268"/>
      <c r="VPK85" s="267"/>
      <c r="VPL85" s="268"/>
      <c r="VPM85" s="267"/>
      <c r="VPN85" s="268"/>
      <c r="VPO85" s="267"/>
      <c r="VPP85" s="268"/>
      <c r="VPQ85" s="267"/>
      <c r="VPR85" s="268"/>
      <c r="VPS85" s="267"/>
      <c r="VPT85" s="268"/>
      <c r="VPU85" s="267"/>
      <c r="VPV85" s="268"/>
      <c r="VPW85" s="267"/>
      <c r="VPX85" s="268"/>
      <c r="VPY85" s="267"/>
      <c r="VPZ85" s="268"/>
      <c r="VQA85" s="267"/>
      <c r="VQB85" s="268"/>
      <c r="VQC85" s="267"/>
      <c r="VQD85" s="268"/>
      <c r="VQE85" s="267"/>
      <c r="VQF85" s="268"/>
      <c r="VQG85" s="267"/>
      <c r="VQH85" s="268"/>
      <c r="VQI85" s="267"/>
      <c r="VQJ85" s="268"/>
      <c r="VQK85" s="267"/>
      <c r="VQL85" s="268"/>
      <c r="VQM85" s="267"/>
      <c r="VQN85" s="268"/>
      <c r="VQO85" s="267"/>
      <c r="VQP85" s="268"/>
      <c r="VQQ85" s="267"/>
      <c r="VQR85" s="268"/>
      <c r="VQS85" s="267"/>
      <c r="VQT85" s="268"/>
      <c r="VQU85" s="267"/>
      <c r="VQV85" s="268"/>
      <c r="VQW85" s="267"/>
      <c r="VQX85" s="268"/>
      <c r="VQY85" s="267"/>
      <c r="VQZ85" s="268"/>
      <c r="VRA85" s="267"/>
      <c r="VRB85" s="268"/>
      <c r="VRC85" s="267"/>
      <c r="VRD85" s="268"/>
      <c r="VRE85" s="267"/>
      <c r="VRF85" s="268"/>
      <c r="VRG85" s="267"/>
      <c r="VRH85" s="268"/>
      <c r="VRI85" s="267"/>
      <c r="VRJ85" s="268"/>
      <c r="VRK85" s="267"/>
      <c r="VRL85" s="268"/>
      <c r="VRM85" s="267"/>
      <c r="VRN85" s="268"/>
      <c r="VRO85" s="267"/>
      <c r="VRP85" s="268"/>
      <c r="VRQ85" s="267"/>
      <c r="VRR85" s="268"/>
      <c r="VRS85" s="267"/>
      <c r="VRT85" s="268"/>
      <c r="VRU85" s="267"/>
      <c r="VRV85" s="268"/>
      <c r="VRW85" s="267"/>
      <c r="VRX85" s="268"/>
      <c r="VRY85" s="267"/>
      <c r="VRZ85" s="268"/>
      <c r="VSA85" s="267"/>
      <c r="VSB85" s="268"/>
      <c r="VSC85" s="267"/>
      <c r="VSD85" s="268"/>
      <c r="VSE85" s="267"/>
      <c r="VSF85" s="268"/>
      <c r="VSG85" s="267"/>
      <c r="VSH85" s="268"/>
      <c r="VSI85" s="267"/>
      <c r="VSJ85" s="268"/>
      <c r="VSK85" s="267"/>
      <c r="VSL85" s="268"/>
      <c r="VSM85" s="267"/>
      <c r="VSN85" s="268"/>
      <c r="VSO85" s="267"/>
      <c r="VSP85" s="268"/>
      <c r="VSQ85" s="267"/>
      <c r="VSR85" s="268"/>
      <c r="VSS85" s="267"/>
      <c r="VST85" s="268"/>
      <c r="VSU85" s="267"/>
      <c r="VSV85" s="268"/>
      <c r="VSW85" s="267"/>
      <c r="VSX85" s="268"/>
      <c r="VSY85" s="267"/>
      <c r="VSZ85" s="268"/>
      <c r="VTA85" s="267"/>
      <c r="VTB85" s="268"/>
      <c r="VTC85" s="267"/>
      <c r="VTD85" s="268"/>
      <c r="VTE85" s="267"/>
      <c r="VTF85" s="268"/>
      <c r="VTG85" s="267"/>
      <c r="VTH85" s="268"/>
      <c r="VTI85" s="267"/>
      <c r="VTJ85" s="268"/>
      <c r="VTK85" s="267"/>
      <c r="VTL85" s="268"/>
      <c r="VTM85" s="267"/>
      <c r="VTN85" s="268"/>
      <c r="VTO85" s="267"/>
      <c r="VTP85" s="268"/>
      <c r="VTQ85" s="267"/>
      <c r="VTR85" s="268"/>
      <c r="VTS85" s="267"/>
      <c r="VTT85" s="268"/>
      <c r="VTU85" s="267"/>
      <c r="VTV85" s="268"/>
      <c r="VTW85" s="267"/>
      <c r="VTX85" s="268"/>
      <c r="VTY85" s="267"/>
      <c r="VTZ85" s="268"/>
      <c r="VUA85" s="267"/>
      <c r="VUB85" s="268"/>
      <c r="VUC85" s="267"/>
      <c r="VUD85" s="268"/>
      <c r="VUE85" s="267"/>
      <c r="VUF85" s="268"/>
      <c r="VUG85" s="267"/>
      <c r="VUH85" s="268"/>
      <c r="VUI85" s="267"/>
      <c r="VUJ85" s="268"/>
      <c r="VUK85" s="267"/>
      <c r="VUL85" s="268"/>
      <c r="VUM85" s="267"/>
      <c r="VUN85" s="268"/>
      <c r="VUO85" s="267"/>
      <c r="VUP85" s="268"/>
      <c r="VUQ85" s="267"/>
      <c r="VUR85" s="268"/>
      <c r="VUS85" s="267"/>
      <c r="VUT85" s="268"/>
      <c r="VUU85" s="267"/>
      <c r="VUV85" s="268"/>
      <c r="VUW85" s="267"/>
      <c r="VUX85" s="268"/>
      <c r="VUY85" s="267"/>
      <c r="VUZ85" s="268"/>
      <c r="VVA85" s="267"/>
      <c r="VVB85" s="268"/>
      <c r="VVC85" s="267"/>
      <c r="VVD85" s="268"/>
      <c r="VVE85" s="267"/>
      <c r="VVF85" s="268"/>
      <c r="VVG85" s="267"/>
      <c r="VVH85" s="268"/>
      <c r="VVI85" s="267"/>
      <c r="VVJ85" s="268"/>
      <c r="VVK85" s="267"/>
      <c r="VVL85" s="268"/>
      <c r="VVM85" s="267"/>
      <c r="VVN85" s="268"/>
      <c r="VVO85" s="267"/>
      <c r="VVP85" s="268"/>
      <c r="VVQ85" s="267"/>
      <c r="VVR85" s="268"/>
      <c r="VVS85" s="267"/>
      <c r="VVT85" s="268"/>
      <c r="VVU85" s="267"/>
      <c r="VVV85" s="268"/>
      <c r="VVW85" s="267"/>
      <c r="VVX85" s="268"/>
      <c r="VVY85" s="267"/>
      <c r="VVZ85" s="268"/>
      <c r="VWA85" s="267"/>
      <c r="VWB85" s="268"/>
      <c r="VWC85" s="267"/>
      <c r="VWD85" s="268"/>
      <c r="VWE85" s="267"/>
      <c r="VWF85" s="268"/>
      <c r="VWG85" s="267"/>
      <c r="VWH85" s="268"/>
      <c r="VWI85" s="267"/>
      <c r="VWJ85" s="268"/>
      <c r="VWK85" s="267"/>
      <c r="VWL85" s="268"/>
      <c r="VWM85" s="267"/>
      <c r="VWN85" s="268"/>
      <c r="VWO85" s="267"/>
      <c r="VWP85" s="268"/>
      <c r="VWQ85" s="267"/>
      <c r="VWR85" s="268"/>
      <c r="VWS85" s="267"/>
      <c r="VWT85" s="268"/>
      <c r="VWU85" s="267"/>
      <c r="VWV85" s="268"/>
      <c r="VWW85" s="267"/>
      <c r="VWX85" s="268"/>
      <c r="VWY85" s="267"/>
      <c r="VWZ85" s="268"/>
      <c r="VXA85" s="267"/>
      <c r="VXB85" s="268"/>
      <c r="VXC85" s="267"/>
      <c r="VXD85" s="268"/>
      <c r="VXE85" s="267"/>
      <c r="VXF85" s="268"/>
      <c r="VXG85" s="267"/>
      <c r="VXH85" s="268"/>
      <c r="VXI85" s="267"/>
      <c r="VXJ85" s="268"/>
      <c r="VXK85" s="267"/>
      <c r="VXL85" s="268"/>
      <c r="VXM85" s="267"/>
      <c r="VXN85" s="268"/>
      <c r="VXO85" s="267"/>
      <c r="VXP85" s="268"/>
      <c r="VXQ85" s="267"/>
      <c r="VXR85" s="268"/>
      <c r="VXS85" s="267"/>
      <c r="VXT85" s="268"/>
      <c r="VXU85" s="267"/>
      <c r="VXV85" s="268"/>
      <c r="VXW85" s="267"/>
      <c r="VXX85" s="268"/>
      <c r="VXY85" s="267"/>
      <c r="VXZ85" s="268"/>
      <c r="VYA85" s="267"/>
      <c r="VYB85" s="268"/>
      <c r="VYC85" s="267"/>
      <c r="VYD85" s="268"/>
      <c r="VYE85" s="267"/>
      <c r="VYF85" s="268"/>
      <c r="VYG85" s="267"/>
      <c r="VYH85" s="268"/>
      <c r="VYI85" s="267"/>
      <c r="VYJ85" s="268"/>
      <c r="VYK85" s="267"/>
      <c r="VYL85" s="268"/>
      <c r="VYM85" s="267"/>
      <c r="VYN85" s="268"/>
      <c r="VYO85" s="267"/>
      <c r="VYP85" s="268"/>
      <c r="VYQ85" s="267"/>
      <c r="VYR85" s="268"/>
      <c r="VYS85" s="267"/>
      <c r="VYT85" s="268"/>
      <c r="VYU85" s="267"/>
      <c r="VYV85" s="268"/>
      <c r="VYW85" s="267"/>
      <c r="VYX85" s="268"/>
      <c r="VYY85" s="267"/>
      <c r="VYZ85" s="268"/>
      <c r="VZA85" s="267"/>
      <c r="VZB85" s="268"/>
      <c r="VZC85" s="267"/>
      <c r="VZD85" s="268"/>
      <c r="VZE85" s="267"/>
      <c r="VZF85" s="268"/>
      <c r="VZG85" s="267"/>
      <c r="VZH85" s="268"/>
      <c r="VZI85" s="267"/>
      <c r="VZJ85" s="268"/>
      <c r="VZK85" s="267"/>
      <c r="VZL85" s="268"/>
      <c r="VZM85" s="267"/>
      <c r="VZN85" s="268"/>
      <c r="VZO85" s="267"/>
      <c r="VZP85" s="268"/>
      <c r="VZQ85" s="267"/>
      <c r="VZR85" s="268"/>
      <c r="VZS85" s="267"/>
      <c r="VZT85" s="268"/>
      <c r="VZU85" s="267"/>
      <c r="VZV85" s="268"/>
      <c r="VZW85" s="267"/>
      <c r="VZX85" s="268"/>
      <c r="VZY85" s="267"/>
      <c r="VZZ85" s="268"/>
      <c r="WAA85" s="267"/>
      <c r="WAB85" s="268"/>
      <c r="WAC85" s="267"/>
      <c r="WAD85" s="268"/>
      <c r="WAE85" s="267"/>
      <c r="WAF85" s="268"/>
      <c r="WAG85" s="267"/>
      <c r="WAH85" s="268"/>
      <c r="WAI85" s="267"/>
      <c r="WAJ85" s="268"/>
      <c r="WAK85" s="267"/>
      <c r="WAL85" s="268"/>
      <c r="WAM85" s="267"/>
      <c r="WAN85" s="268"/>
      <c r="WAO85" s="267"/>
      <c r="WAP85" s="268"/>
      <c r="WAQ85" s="267"/>
      <c r="WAR85" s="268"/>
      <c r="WAS85" s="267"/>
      <c r="WAT85" s="268"/>
      <c r="WAU85" s="267"/>
      <c r="WAV85" s="268"/>
      <c r="WAW85" s="267"/>
      <c r="WAX85" s="268"/>
      <c r="WAY85" s="267"/>
      <c r="WAZ85" s="268"/>
      <c r="WBA85" s="267"/>
      <c r="WBB85" s="268"/>
      <c r="WBC85" s="267"/>
      <c r="WBD85" s="268"/>
      <c r="WBE85" s="267"/>
      <c r="WBF85" s="268"/>
      <c r="WBG85" s="267"/>
      <c r="WBH85" s="268"/>
      <c r="WBI85" s="267"/>
      <c r="WBJ85" s="268"/>
      <c r="WBK85" s="267"/>
      <c r="WBL85" s="268"/>
      <c r="WBM85" s="267"/>
      <c r="WBN85" s="268"/>
      <c r="WBO85" s="267"/>
      <c r="WBP85" s="268"/>
      <c r="WBQ85" s="267"/>
      <c r="WBR85" s="268"/>
      <c r="WBS85" s="267"/>
      <c r="WBT85" s="268"/>
      <c r="WBU85" s="267"/>
      <c r="WBV85" s="268"/>
      <c r="WBW85" s="267"/>
      <c r="WBX85" s="268"/>
      <c r="WBY85" s="267"/>
      <c r="WBZ85" s="268"/>
      <c r="WCA85" s="267"/>
      <c r="WCB85" s="268"/>
      <c r="WCC85" s="267"/>
      <c r="WCD85" s="268"/>
      <c r="WCE85" s="267"/>
      <c r="WCF85" s="268"/>
      <c r="WCG85" s="267"/>
      <c r="WCH85" s="268"/>
      <c r="WCI85" s="267"/>
      <c r="WCJ85" s="268"/>
      <c r="WCK85" s="267"/>
      <c r="WCL85" s="268"/>
      <c r="WCM85" s="267"/>
      <c r="WCN85" s="268"/>
      <c r="WCO85" s="267"/>
      <c r="WCP85" s="268"/>
      <c r="WCQ85" s="267"/>
      <c r="WCR85" s="268"/>
      <c r="WCS85" s="267"/>
      <c r="WCT85" s="268"/>
      <c r="WCU85" s="267"/>
      <c r="WCV85" s="268"/>
      <c r="WCW85" s="267"/>
      <c r="WCX85" s="268"/>
      <c r="WCY85" s="267"/>
      <c r="WCZ85" s="268"/>
      <c r="WDA85" s="267"/>
      <c r="WDB85" s="268"/>
      <c r="WDC85" s="267"/>
      <c r="WDD85" s="268"/>
      <c r="WDE85" s="267"/>
      <c r="WDF85" s="268"/>
      <c r="WDG85" s="267"/>
      <c r="WDH85" s="268"/>
      <c r="WDI85" s="267"/>
      <c r="WDJ85" s="268"/>
      <c r="WDK85" s="267"/>
      <c r="WDL85" s="268"/>
      <c r="WDM85" s="267"/>
      <c r="WDN85" s="268"/>
      <c r="WDO85" s="267"/>
      <c r="WDP85" s="268"/>
      <c r="WDQ85" s="267"/>
      <c r="WDR85" s="268"/>
      <c r="WDS85" s="267"/>
      <c r="WDT85" s="268"/>
      <c r="WDU85" s="267"/>
      <c r="WDV85" s="268"/>
      <c r="WDW85" s="267"/>
      <c r="WDX85" s="268"/>
      <c r="WDY85" s="267"/>
      <c r="WDZ85" s="268"/>
      <c r="WEA85" s="267"/>
      <c r="WEB85" s="268"/>
      <c r="WEC85" s="267"/>
      <c r="WED85" s="268"/>
      <c r="WEE85" s="267"/>
      <c r="WEF85" s="268"/>
      <c r="WEG85" s="267"/>
      <c r="WEH85" s="268"/>
      <c r="WEI85" s="267"/>
      <c r="WEJ85" s="268"/>
      <c r="WEK85" s="267"/>
      <c r="WEL85" s="268"/>
      <c r="WEM85" s="267"/>
      <c r="WEN85" s="268"/>
      <c r="WEO85" s="267"/>
      <c r="WEP85" s="268"/>
      <c r="WEQ85" s="267"/>
      <c r="WER85" s="268"/>
      <c r="WES85" s="267"/>
      <c r="WET85" s="268"/>
      <c r="WEU85" s="267"/>
      <c r="WEV85" s="268"/>
      <c r="WEW85" s="267"/>
      <c r="WEX85" s="268"/>
      <c r="WEY85" s="267"/>
      <c r="WEZ85" s="268"/>
      <c r="WFA85" s="267"/>
      <c r="WFB85" s="268"/>
      <c r="WFC85" s="267"/>
      <c r="WFD85" s="268"/>
      <c r="WFE85" s="267"/>
      <c r="WFF85" s="268"/>
      <c r="WFG85" s="267"/>
      <c r="WFH85" s="268"/>
      <c r="WFI85" s="267"/>
      <c r="WFJ85" s="268"/>
      <c r="WFK85" s="267"/>
      <c r="WFL85" s="268"/>
      <c r="WFM85" s="267"/>
      <c r="WFN85" s="268"/>
      <c r="WFO85" s="267"/>
      <c r="WFP85" s="268"/>
      <c r="WFQ85" s="267"/>
      <c r="WFR85" s="268"/>
      <c r="WFS85" s="267"/>
      <c r="WFT85" s="268"/>
      <c r="WFU85" s="267"/>
      <c r="WFV85" s="268"/>
      <c r="WFW85" s="267"/>
      <c r="WFX85" s="268"/>
      <c r="WFY85" s="267"/>
      <c r="WFZ85" s="268"/>
      <c r="WGA85" s="267"/>
      <c r="WGB85" s="268"/>
      <c r="WGC85" s="267"/>
      <c r="WGD85" s="268"/>
      <c r="WGE85" s="267"/>
      <c r="WGF85" s="268"/>
      <c r="WGG85" s="267"/>
      <c r="WGH85" s="268"/>
      <c r="WGI85" s="267"/>
      <c r="WGJ85" s="268"/>
      <c r="WGK85" s="267"/>
      <c r="WGL85" s="268"/>
      <c r="WGM85" s="267"/>
      <c r="WGN85" s="268"/>
      <c r="WGO85" s="267"/>
      <c r="WGP85" s="268"/>
      <c r="WGQ85" s="267"/>
      <c r="WGR85" s="268"/>
      <c r="WGS85" s="267"/>
      <c r="WGT85" s="268"/>
      <c r="WGU85" s="267"/>
      <c r="WGV85" s="268"/>
      <c r="WGW85" s="267"/>
      <c r="WGX85" s="268"/>
      <c r="WGY85" s="267"/>
      <c r="WGZ85" s="268"/>
      <c r="WHA85" s="267"/>
      <c r="WHB85" s="268"/>
      <c r="WHC85" s="267"/>
      <c r="WHD85" s="268"/>
      <c r="WHE85" s="267"/>
      <c r="WHF85" s="268"/>
      <c r="WHG85" s="267"/>
      <c r="WHH85" s="268"/>
      <c r="WHI85" s="267"/>
      <c r="WHJ85" s="268"/>
      <c r="WHK85" s="267"/>
      <c r="WHL85" s="268"/>
      <c r="WHM85" s="267"/>
      <c r="WHN85" s="268"/>
      <c r="WHO85" s="267"/>
      <c r="WHP85" s="268"/>
      <c r="WHQ85" s="267"/>
      <c r="WHR85" s="268"/>
      <c r="WHS85" s="267"/>
      <c r="WHT85" s="268"/>
      <c r="WHU85" s="267"/>
      <c r="WHV85" s="268"/>
      <c r="WHW85" s="267"/>
      <c r="WHX85" s="268"/>
      <c r="WHY85" s="267"/>
      <c r="WHZ85" s="268"/>
      <c r="WIA85" s="267"/>
      <c r="WIB85" s="268"/>
      <c r="WIC85" s="267"/>
      <c r="WID85" s="268"/>
      <c r="WIE85" s="267"/>
      <c r="WIF85" s="268"/>
      <c r="WIG85" s="267"/>
      <c r="WIH85" s="268"/>
      <c r="WII85" s="267"/>
      <c r="WIJ85" s="268"/>
      <c r="WIK85" s="267"/>
      <c r="WIL85" s="268"/>
      <c r="WIM85" s="267"/>
      <c r="WIN85" s="268"/>
      <c r="WIO85" s="267"/>
      <c r="WIP85" s="268"/>
      <c r="WIQ85" s="267"/>
      <c r="WIR85" s="268"/>
      <c r="WIS85" s="267"/>
      <c r="WIT85" s="268"/>
      <c r="WIU85" s="267"/>
      <c r="WIV85" s="268"/>
      <c r="WIW85" s="267"/>
      <c r="WIX85" s="268"/>
      <c r="WIY85" s="267"/>
      <c r="WIZ85" s="268"/>
      <c r="WJA85" s="267"/>
      <c r="WJB85" s="268"/>
      <c r="WJC85" s="267"/>
      <c r="WJD85" s="268"/>
      <c r="WJE85" s="267"/>
      <c r="WJF85" s="268"/>
      <c r="WJG85" s="267"/>
      <c r="WJH85" s="268"/>
      <c r="WJI85" s="267"/>
      <c r="WJJ85" s="268"/>
      <c r="WJK85" s="267"/>
      <c r="WJL85" s="268"/>
      <c r="WJM85" s="267"/>
      <c r="WJN85" s="268"/>
      <c r="WJO85" s="267"/>
      <c r="WJP85" s="268"/>
      <c r="WJQ85" s="267"/>
      <c r="WJR85" s="268"/>
      <c r="WJS85" s="267"/>
      <c r="WJT85" s="268"/>
      <c r="WJU85" s="267"/>
      <c r="WJV85" s="268"/>
      <c r="WJW85" s="267"/>
      <c r="WJX85" s="268"/>
      <c r="WJY85" s="267"/>
      <c r="WJZ85" s="268"/>
      <c r="WKA85" s="267"/>
      <c r="WKB85" s="268"/>
      <c r="WKC85" s="267"/>
      <c r="WKD85" s="268"/>
      <c r="WKE85" s="267"/>
      <c r="WKF85" s="268"/>
      <c r="WKG85" s="267"/>
      <c r="WKH85" s="268"/>
      <c r="WKI85" s="267"/>
      <c r="WKJ85" s="268"/>
      <c r="WKK85" s="267"/>
      <c r="WKL85" s="268"/>
      <c r="WKM85" s="267"/>
      <c r="WKN85" s="268"/>
      <c r="WKO85" s="267"/>
      <c r="WKP85" s="268"/>
      <c r="WKQ85" s="267"/>
      <c r="WKR85" s="268"/>
      <c r="WKS85" s="267"/>
      <c r="WKT85" s="268"/>
      <c r="WKU85" s="267"/>
      <c r="WKV85" s="268"/>
      <c r="WKW85" s="267"/>
      <c r="WKX85" s="268"/>
      <c r="WKY85" s="267"/>
      <c r="WKZ85" s="268"/>
      <c r="WLA85" s="267"/>
      <c r="WLB85" s="268"/>
      <c r="WLC85" s="267"/>
      <c r="WLD85" s="268"/>
      <c r="WLE85" s="267"/>
      <c r="WLF85" s="268"/>
      <c r="WLG85" s="267"/>
      <c r="WLH85" s="268"/>
      <c r="WLI85" s="267"/>
      <c r="WLJ85" s="268"/>
      <c r="WLK85" s="267"/>
      <c r="WLL85" s="268"/>
      <c r="WLM85" s="267"/>
      <c r="WLN85" s="268"/>
      <c r="WLO85" s="267"/>
      <c r="WLP85" s="268"/>
      <c r="WLQ85" s="267"/>
      <c r="WLR85" s="268"/>
      <c r="WLS85" s="267"/>
      <c r="WLT85" s="268"/>
      <c r="WLU85" s="267"/>
      <c r="WLV85" s="268"/>
      <c r="WLW85" s="267"/>
      <c r="WLX85" s="268"/>
      <c r="WLY85" s="267"/>
      <c r="WLZ85" s="268"/>
      <c r="WMA85" s="267"/>
      <c r="WMB85" s="268"/>
      <c r="WMC85" s="267"/>
      <c r="WMD85" s="268"/>
      <c r="WME85" s="267"/>
      <c r="WMF85" s="268"/>
      <c r="WMG85" s="267"/>
      <c r="WMH85" s="268"/>
      <c r="WMI85" s="267"/>
      <c r="WMJ85" s="268"/>
      <c r="WMK85" s="267"/>
      <c r="WML85" s="268"/>
      <c r="WMM85" s="267"/>
      <c r="WMN85" s="268"/>
      <c r="WMO85" s="267"/>
      <c r="WMP85" s="268"/>
      <c r="WMQ85" s="267"/>
      <c r="WMR85" s="268"/>
      <c r="WMS85" s="267"/>
      <c r="WMT85" s="268"/>
      <c r="WMU85" s="267"/>
      <c r="WMV85" s="268"/>
      <c r="WMW85" s="267"/>
      <c r="WMX85" s="268"/>
      <c r="WMY85" s="267"/>
      <c r="WMZ85" s="268"/>
      <c r="WNA85" s="267"/>
      <c r="WNB85" s="268"/>
      <c r="WNC85" s="267"/>
      <c r="WND85" s="268"/>
      <c r="WNE85" s="267"/>
      <c r="WNF85" s="268"/>
      <c r="WNG85" s="267"/>
      <c r="WNH85" s="268"/>
      <c r="WNI85" s="267"/>
      <c r="WNJ85" s="268"/>
      <c r="WNK85" s="267"/>
      <c r="WNL85" s="268"/>
      <c r="WNM85" s="267"/>
      <c r="WNN85" s="268"/>
      <c r="WNO85" s="267"/>
      <c r="WNP85" s="268"/>
      <c r="WNQ85" s="267"/>
      <c r="WNR85" s="268"/>
      <c r="WNS85" s="267"/>
      <c r="WNT85" s="268"/>
      <c r="WNU85" s="267"/>
      <c r="WNV85" s="268"/>
      <c r="WNW85" s="267"/>
      <c r="WNX85" s="268"/>
      <c r="WNY85" s="267"/>
      <c r="WNZ85" s="268"/>
      <c r="WOA85" s="267"/>
      <c r="WOB85" s="268"/>
      <c r="WOC85" s="267"/>
      <c r="WOD85" s="268"/>
      <c r="WOE85" s="267"/>
      <c r="WOF85" s="268"/>
      <c r="WOG85" s="267"/>
      <c r="WOH85" s="268"/>
      <c r="WOI85" s="267"/>
      <c r="WOJ85" s="268"/>
      <c r="WOK85" s="267"/>
      <c r="WOL85" s="268"/>
      <c r="WOM85" s="267"/>
      <c r="WON85" s="268"/>
      <c r="WOO85" s="267"/>
      <c r="WOP85" s="268"/>
      <c r="WOQ85" s="267"/>
      <c r="WOR85" s="268"/>
      <c r="WOS85" s="267"/>
      <c r="WOT85" s="268"/>
      <c r="WOU85" s="267"/>
      <c r="WOV85" s="268"/>
      <c r="WOW85" s="267"/>
      <c r="WOX85" s="268"/>
      <c r="WOY85" s="267"/>
      <c r="WOZ85" s="268"/>
      <c r="WPA85" s="267"/>
      <c r="WPB85" s="268"/>
      <c r="WPC85" s="267"/>
      <c r="WPD85" s="268"/>
      <c r="WPE85" s="267"/>
      <c r="WPF85" s="268"/>
      <c r="WPG85" s="267"/>
      <c r="WPH85" s="268"/>
      <c r="WPI85" s="267"/>
      <c r="WPJ85" s="268"/>
      <c r="WPK85" s="267"/>
      <c r="WPL85" s="268"/>
      <c r="WPM85" s="267"/>
      <c r="WPN85" s="268"/>
      <c r="WPO85" s="267"/>
      <c r="WPP85" s="268"/>
      <c r="WPQ85" s="267"/>
      <c r="WPR85" s="268"/>
      <c r="WPS85" s="267"/>
      <c r="WPT85" s="268"/>
      <c r="WPU85" s="267"/>
      <c r="WPV85" s="268"/>
      <c r="WPW85" s="267"/>
      <c r="WPX85" s="268"/>
      <c r="WPY85" s="267"/>
      <c r="WPZ85" s="268"/>
      <c r="WQA85" s="267"/>
      <c r="WQB85" s="268"/>
      <c r="WQC85" s="267"/>
      <c r="WQD85" s="268"/>
      <c r="WQE85" s="267"/>
      <c r="WQF85" s="268"/>
      <c r="WQG85" s="267"/>
      <c r="WQH85" s="268"/>
      <c r="WQI85" s="267"/>
      <c r="WQJ85" s="268"/>
      <c r="WQK85" s="267"/>
      <c r="WQL85" s="268"/>
      <c r="WQM85" s="267"/>
      <c r="WQN85" s="268"/>
      <c r="WQO85" s="267"/>
      <c r="WQP85" s="268"/>
      <c r="WQQ85" s="267"/>
      <c r="WQR85" s="268"/>
      <c r="WQS85" s="267"/>
      <c r="WQT85" s="268"/>
      <c r="WQU85" s="267"/>
      <c r="WQV85" s="268"/>
      <c r="WQW85" s="267"/>
      <c r="WQX85" s="268"/>
      <c r="WQY85" s="267"/>
      <c r="WQZ85" s="268"/>
      <c r="WRA85" s="267"/>
      <c r="WRB85" s="268"/>
      <c r="WRC85" s="267"/>
      <c r="WRD85" s="268"/>
      <c r="WRE85" s="267"/>
      <c r="WRF85" s="268"/>
      <c r="WRG85" s="267"/>
      <c r="WRH85" s="268"/>
      <c r="WRI85" s="267"/>
      <c r="WRJ85" s="268"/>
      <c r="WRK85" s="267"/>
      <c r="WRL85" s="268"/>
      <c r="WRM85" s="267"/>
      <c r="WRN85" s="268"/>
      <c r="WRO85" s="267"/>
      <c r="WRP85" s="268"/>
      <c r="WRQ85" s="267"/>
      <c r="WRR85" s="268"/>
      <c r="WRS85" s="267"/>
      <c r="WRT85" s="268"/>
      <c r="WRU85" s="267"/>
      <c r="WRV85" s="268"/>
      <c r="WRW85" s="267"/>
      <c r="WRX85" s="268"/>
      <c r="WRY85" s="267"/>
      <c r="WRZ85" s="268"/>
      <c r="WSA85" s="267"/>
      <c r="WSB85" s="268"/>
      <c r="WSC85" s="267"/>
      <c r="WSD85" s="268"/>
      <c r="WSE85" s="267"/>
      <c r="WSF85" s="268"/>
      <c r="WSG85" s="267"/>
      <c r="WSH85" s="268"/>
      <c r="WSI85" s="267"/>
      <c r="WSJ85" s="268"/>
      <c r="WSK85" s="267"/>
      <c r="WSL85" s="268"/>
      <c r="WSM85" s="267"/>
      <c r="WSN85" s="268"/>
      <c r="WSO85" s="267"/>
      <c r="WSP85" s="268"/>
      <c r="WSQ85" s="267"/>
      <c r="WSR85" s="268"/>
      <c r="WSS85" s="267"/>
      <c r="WST85" s="268"/>
      <c r="WSU85" s="267"/>
      <c r="WSV85" s="268"/>
      <c r="WSW85" s="267"/>
      <c r="WSX85" s="268"/>
      <c r="WSY85" s="267"/>
      <c r="WSZ85" s="268"/>
      <c r="WTA85" s="267"/>
      <c r="WTB85" s="268"/>
      <c r="WTC85" s="267"/>
      <c r="WTD85" s="268"/>
      <c r="WTE85" s="267"/>
      <c r="WTF85" s="268"/>
      <c r="WTG85" s="267"/>
      <c r="WTH85" s="268"/>
      <c r="WTI85" s="267"/>
      <c r="WTJ85" s="268"/>
      <c r="WTK85" s="267"/>
      <c r="WTL85" s="268"/>
      <c r="WTM85" s="267"/>
      <c r="WTN85" s="268"/>
      <c r="WTO85" s="267"/>
      <c r="WTP85" s="268"/>
      <c r="WTQ85" s="267"/>
      <c r="WTR85" s="268"/>
      <c r="WTS85" s="267"/>
      <c r="WTT85" s="268"/>
      <c r="WTU85" s="267"/>
      <c r="WTV85" s="268"/>
      <c r="WTW85" s="267"/>
      <c r="WTX85" s="268"/>
      <c r="WTY85" s="267"/>
      <c r="WTZ85" s="268"/>
      <c r="WUA85" s="267"/>
      <c r="WUB85" s="268"/>
      <c r="WUC85" s="267"/>
      <c r="WUD85" s="268"/>
      <c r="WUE85" s="267"/>
      <c r="WUF85" s="268"/>
      <c r="WUG85" s="267"/>
      <c r="WUH85" s="268"/>
      <c r="WUI85" s="267"/>
      <c r="WUJ85" s="268"/>
      <c r="WUK85" s="267"/>
      <c r="WUL85" s="268"/>
      <c r="WUM85" s="267"/>
      <c r="WUN85" s="268"/>
      <c r="WUO85" s="267"/>
      <c r="WUP85" s="268"/>
      <c r="WUQ85" s="267"/>
      <c r="WUR85" s="268"/>
      <c r="WUS85" s="267"/>
      <c r="WUT85" s="268"/>
      <c r="WUU85" s="267"/>
      <c r="WUV85" s="268"/>
      <c r="WUW85" s="267"/>
      <c r="WUX85" s="268"/>
      <c r="WUY85" s="267"/>
      <c r="WUZ85" s="268"/>
      <c r="WVA85" s="267"/>
      <c r="WVB85" s="268"/>
      <c r="WVC85" s="267"/>
      <c r="WVD85" s="268"/>
      <c r="WVE85" s="267"/>
      <c r="WVF85" s="268"/>
      <c r="WVG85" s="267"/>
      <c r="WVH85" s="268"/>
      <c r="WVI85" s="267"/>
      <c r="WVJ85" s="268"/>
      <c r="WVK85" s="267"/>
      <c r="WVL85" s="268"/>
      <c r="WVM85" s="267"/>
      <c r="WVN85" s="268"/>
      <c r="WVO85" s="267"/>
      <c r="WVP85" s="268"/>
      <c r="WVQ85" s="267"/>
      <c r="WVR85" s="268"/>
      <c r="WVS85" s="267"/>
      <c r="WVT85" s="268"/>
      <c r="WVU85" s="267"/>
      <c r="WVV85" s="268"/>
      <c r="WVW85" s="267"/>
      <c r="WVX85" s="268"/>
      <c r="WVY85" s="267"/>
      <c r="WVZ85" s="268"/>
      <c r="WWA85" s="267"/>
      <c r="WWB85" s="268"/>
      <c r="WWC85" s="267"/>
      <c r="WWD85" s="268"/>
      <c r="WWE85" s="267"/>
      <c r="WWF85" s="268"/>
      <c r="WWG85" s="267"/>
      <c r="WWH85" s="268"/>
      <c r="WWI85" s="267"/>
      <c r="WWJ85" s="268"/>
      <c r="WWK85" s="267"/>
      <c r="WWL85" s="268"/>
      <c r="WWM85" s="267"/>
      <c r="WWN85" s="268"/>
      <c r="WWO85" s="267"/>
      <c r="WWP85" s="268"/>
      <c r="WWQ85" s="267"/>
      <c r="WWR85" s="268"/>
      <c r="WWS85" s="267"/>
      <c r="WWT85" s="268"/>
      <c r="WWU85" s="267"/>
      <c r="WWV85" s="268"/>
      <c r="WWW85" s="267"/>
      <c r="WWX85" s="268"/>
      <c r="WWY85" s="267"/>
      <c r="WWZ85" s="268"/>
      <c r="WXA85" s="267"/>
      <c r="WXB85" s="268"/>
      <c r="WXC85" s="267"/>
      <c r="WXD85" s="268"/>
      <c r="WXE85" s="267"/>
      <c r="WXF85" s="268"/>
      <c r="WXG85" s="267"/>
      <c r="WXH85" s="268"/>
      <c r="WXI85" s="267"/>
      <c r="WXJ85" s="268"/>
      <c r="WXK85" s="267"/>
      <c r="WXL85" s="268"/>
      <c r="WXM85" s="267"/>
      <c r="WXN85" s="268"/>
      <c r="WXO85" s="267"/>
      <c r="WXP85" s="268"/>
      <c r="WXQ85" s="267"/>
      <c r="WXR85" s="268"/>
      <c r="WXS85" s="267"/>
      <c r="WXT85" s="268"/>
      <c r="WXU85" s="267"/>
      <c r="WXV85" s="268"/>
      <c r="WXW85" s="267"/>
      <c r="WXX85" s="268"/>
      <c r="WXY85" s="267"/>
      <c r="WXZ85" s="268"/>
      <c r="WYA85" s="267"/>
      <c r="WYB85" s="268"/>
      <c r="WYC85" s="267"/>
      <c r="WYD85" s="268"/>
      <c r="WYE85" s="267"/>
      <c r="WYF85" s="268"/>
      <c r="WYG85" s="267"/>
      <c r="WYH85" s="268"/>
      <c r="WYI85" s="267"/>
      <c r="WYJ85" s="268"/>
      <c r="WYK85" s="267"/>
      <c r="WYL85" s="268"/>
      <c r="WYM85" s="267"/>
      <c r="WYN85" s="268"/>
      <c r="WYO85" s="267"/>
      <c r="WYP85" s="268"/>
      <c r="WYQ85" s="267"/>
      <c r="WYR85" s="268"/>
      <c r="WYS85" s="267"/>
      <c r="WYT85" s="268"/>
      <c r="WYU85" s="267"/>
      <c r="WYV85" s="268"/>
      <c r="WYW85" s="267"/>
      <c r="WYX85" s="268"/>
      <c r="WYY85" s="267"/>
      <c r="WYZ85" s="268"/>
      <c r="WZA85" s="267"/>
      <c r="WZB85" s="268"/>
      <c r="WZC85" s="267"/>
      <c r="WZD85" s="268"/>
      <c r="WZE85" s="267"/>
      <c r="WZF85" s="268"/>
      <c r="WZG85" s="267"/>
      <c r="WZH85" s="268"/>
      <c r="WZI85" s="267"/>
      <c r="WZJ85" s="268"/>
      <c r="WZK85" s="267"/>
      <c r="WZL85" s="268"/>
      <c r="WZM85" s="267"/>
      <c r="WZN85" s="268"/>
      <c r="WZO85" s="267"/>
      <c r="WZP85" s="268"/>
      <c r="WZQ85" s="267"/>
      <c r="WZR85" s="268"/>
      <c r="WZS85" s="267"/>
      <c r="WZT85" s="268"/>
      <c r="WZU85" s="267"/>
      <c r="WZV85" s="268"/>
      <c r="WZW85" s="267"/>
      <c r="WZX85" s="268"/>
      <c r="WZY85" s="267"/>
      <c r="WZZ85" s="268"/>
      <c r="XAA85" s="267"/>
      <c r="XAB85" s="268"/>
      <c r="XAC85" s="267"/>
      <c r="XAD85" s="268"/>
      <c r="XAE85" s="267"/>
      <c r="XAF85" s="268"/>
      <c r="XAG85" s="267"/>
      <c r="XAH85" s="268"/>
      <c r="XAI85" s="267"/>
      <c r="XAJ85" s="268"/>
      <c r="XAK85" s="267"/>
      <c r="XAL85" s="268"/>
      <c r="XAM85" s="267"/>
      <c r="XAN85" s="268"/>
      <c r="XAO85" s="267"/>
      <c r="XAP85" s="268"/>
      <c r="XAQ85" s="267"/>
      <c r="XAR85" s="268"/>
      <c r="XAS85" s="267"/>
      <c r="XAT85" s="268"/>
      <c r="XAU85" s="267"/>
      <c r="XAV85" s="268"/>
      <c r="XAW85" s="267"/>
      <c r="XAX85" s="268"/>
      <c r="XAY85" s="267"/>
      <c r="XAZ85" s="268"/>
      <c r="XBA85" s="267"/>
      <c r="XBB85" s="268"/>
      <c r="XBC85" s="267"/>
      <c r="XBD85" s="268"/>
      <c r="XBE85" s="267"/>
      <c r="XBF85" s="268"/>
      <c r="XBG85" s="267"/>
      <c r="XBH85" s="268"/>
      <c r="XBI85" s="267"/>
      <c r="XBJ85" s="268"/>
      <c r="XBK85" s="267"/>
      <c r="XBL85" s="268"/>
      <c r="XBM85" s="267"/>
      <c r="XBN85" s="268"/>
      <c r="XBO85" s="267"/>
      <c r="XBP85" s="268"/>
      <c r="XBQ85" s="267"/>
      <c r="XBR85" s="268"/>
      <c r="XBS85" s="267"/>
      <c r="XBT85" s="268"/>
      <c r="XBU85" s="267"/>
      <c r="XBV85" s="268"/>
      <c r="XBW85" s="267"/>
      <c r="XBX85" s="268"/>
      <c r="XBY85" s="267"/>
      <c r="XBZ85" s="268"/>
      <c r="XCA85" s="267"/>
      <c r="XCB85" s="268"/>
      <c r="XCC85" s="267"/>
      <c r="XCD85" s="268"/>
      <c r="XCE85" s="267"/>
      <c r="XCF85" s="268"/>
      <c r="XCG85" s="267"/>
      <c r="XCH85" s="268"/>
      <c r="XCI85" s="267"/>
      <c r="XCJ85" s="268"/>
      <c r="XCK85" s="267"/>
      <c r="XCL85" s="268"/>
      <c r="XCM85" s="267"/>
      <c r="XCN85" s="268"/>
      <c r="XCO85" s="267"/>
      <c r="XCP85" s="268"/>
      <c r="XCQ85" s="267"/>
      <c r="XCR85" s="268"/>
      <c r="XCS85" s="267"/>
      <c r="XCT85" s="268"/>
      <c r="XCU85" s="267"/>
      <c r="XCV85" s="268"/>
      <c r="XCW85" s="267"/>
      <c r="XCX85" s="268"/>
      <c r="XCY85" s="267"/>
      <c r="XCZ85" s="268"/>
      <c r="XDA85" s="267"/>
      <c r="XDB85" s="268"/>
      <c r="XDC85" s="267"/>
      <c r="XDD85" s="268"/>
      <c r="XDE85" s="267"/>
      <c r="XDF85" s="268"/>
      <c r="XDG85" s="267"/>
      <c r="XDH85" s="268"/>
      <c r="XDI85" s="267"/>
      <c r="XDJ85" s="268"/>
      <c r="XDK85" s="267"/>
      <c r="XDL85" s="268"/>
      <c r="XDM85" s="267"/>
      <c r="XDN85" s="268"/>
      <c r="XDO85" s="267"/>
      <c r="XDP85" s="268"/>
      <c r="XDQ85" s="267"/>
      <c r="XDR85" s="268"/>
      <c r="XDS85" s="267"/>
      <c r="XDT85" s="268"/>
      <c r="XDU85" s="267"/>
      <c r="XDV85" s="268"/>
      <c r="XDW85" s="267"/>
      <c r="XDX85" s="268"/>
      <c r="XDY85" s="267"/>
      <c r="XDZ85" s="268"/>
      <c r="XEA85" s="267"/>
      <c r="XEB85" s="268"/>
      <c r="XEC85" s="267"/>
      <c r="XED85" s="268"/>
      <c r="XEE85" s="267"/>
      <c r="XEF85" s="268"/>
      <c r="XEG85" s="267"/>
      <c r="XEH85" s="268"/>
      <c r="XEI85" s="267"/>
      <c r="XEJ85" s="268"/>
      <c r="XEK85" s="267"/>
      <c r="XEL85" s="268"/>
      <c r="XEM85" s="267"/>
      <c r="XEN85" s="268"/>
      <c r="XEO85" s="267"/>
      <c r="XEP85" s="268"/>
      <c r="XEQ85" s="267"/>
      <c r="XER85" s="268"/>
      <c r="XES85" s="267"/>
      <c r="XET85" s="268"/>
      <c r="XEU85" s="267"/>
      <c r="XEV85" s="268"/>
      <c r="XEW85" s="267"/>
      <c r="XEX85" s="268"/>
      <c r="XEY85" s="267"/>
      <c r="XEZ85" s="268"/>
      <c r="XFA85" s="267"/>
      <c r="XFB85" s="268"/>
      <c r="XFC85" s="267"/>
      <c r="XFD85" s="268"/>
    </row>
    <row r="86" s="109" customFormat="1" hidden="1" spans="1:26">
      <c r="A86" s="121"/>
      <c r="B86" s="122"/>
      <c r="C86" s="133" t="s">
        <v>13</v>
      </c>
      <c r="D86" s="254">
        <f t="shared" ref="D86:D88" si="65">SUM(E86:S86)</f>
        <v>22392.276767288</v>
      </c>
      <c r="E86" s="254">
        <f>E90+E94</f>
        <v>4178.61360845901</v>
      </c>
      <c r="F86" s="254">
        <f t="shared" ref="F86:I86" si="66">F90+F94</f>
        <v>4178.61360845901</v>
      </c>
      <c r="G86" s="254">
        <f t="shared" si="66"/>
        <v>4178.61360845901</v>
      </c>
      <c r="H86" s="254">
        <f t="shared" si="66"/>
        <v>4178.61360845901</v>
      </c>
      <c r="I86" s="254">
        <f t="shared" si="66"/>
        <v>4178.61360845901</v>
      </c>
      <c r="J86" s="260">
        <f t="shared" ref="J86:S86" si="67">J90+J94+J82</f>
        <v>67.5937900048027</v>
      </c>
      <c r="K86" s="260">
        <f t="shared" si="67"/>
        <v>81.2212202123499</v>
      </c>
      <c r="L86" s="260">
        <f t="shared" si="67"/>
        <v>124.792907438079</v>
      </c>
      <c r="M86" s="260">
        <f t="shared" si="67"/>
        <v>139.686579269091</v>
      </c>
      <c r="N86" s="260">
        <f t="shared" si="67"/>
        <v>155.132956432727</v>
      </c>
      <c r="O86" s="260">
        <f t="shared" si="67"/>
        <v>173.015105264727</v>
      </c>
      <c r="P86" s="260">
        <f t="shared" si="67"/>
        <v>186.42770439187</v>
      </c>
      <c r="Q86" s="260">
        <f t="shared" si="67"/>
        <v>186.42770439187</v>
      </c>
      <c r="R86" s="260">
        <f t="shared" si="67"/>
        <v>191.782195722779</v>
      </c>
      <c r="S86" s="260">
        <f t="shared" si="67"/>
        <v>193.128561864665</v>
      </c>
      <c r="T86" s="263"/>
      <c r="U86" s="263"/>
      <c r="V86" s="263"/>
      <c r="W86" s="263"/>
      <c r="X86" s="263"/>
      <c r="Y86" s="263"/>
      <c r="Z86" s="263"/>
    </row>
    <row r="87" s="109" customFormat="1" hidden="1" spans="1:26">
      <c r="A87" s="121"/>
      <c r="B87" s="122"/>
      <c r="C87" s="123" t="s">
        <v>14</v>
      </c>
      <c r="D87" s="243">
        <f t="shared" si="65"/>
        <v>12509.4885519368</v>
      </c>
      <c r="E87" s="243">
        <f>E91+E95</f>
        <v>2305.08907771492</v>
      </c>
      <c r="F87" s="243">
        <f t="shared" ref="F87:I87" si="68">F91+F95</f>
        <v>2305.08907771492</v>
      </c>
      <c r="G87" s="243">
        <f t="shared" si="68"/>
        <v>2305.08907771492</v>
      </c>
      <c r="H87" s="243">
        <f t="shared" si="68"/>
        <v>2179.11000026038</v>
      </c>
      <c r="I87" s="243">
        <f t="shared" si="68"/>
        <v>2179.11000026038</v>
      </c>
      <c r="J87" s="261">
        <f t="shared" ref="J87:S87" si="69">J91+J95+J83</f>
        <v>63.2561789892144</v>
      </c>
      <c r="K87" s="261">
        <f t="shared" si="69"/>
        <v>76.0658930921304</v>
      </c>
      <c r="L87" s="261">
        <f t="shared" si="69"/>
        <v>103.841481917901</v>
      </c>
      <c r="M87" s="261">
        <f t="shared" si="69"/>
        <v>115.561242642713</v>
      </c>
      <c r="N87" s="261">
        <f t="shared" si="69"/>
        <v>128.763488706996</v>
      </c>
      <c r="O87" s="261">
        <f t="shared" si="69"/>
        <v>136.71861477128</v>
      </c>
      <c r="P87" s="261">
        <f t="shared" si="69"/>
        <v>149.505816794032</v>
      </c>
      <c r="Q87" s="261">
        <f t="shared" si="69"/>
        <v>149.505816794032</v>
      </c>
      <c r="R87" s="261">
        <f t="shared" si="69"/>
        <v>154.752936794032</v>
      </c>
      <c r="S87" s="261">
        <f t="shared" si="69"/>
        <v>158.029847768958</v>
      </c>
      <c r="T87" s="263"/>
      <c r="U87" s="263"/>
      <c r="V87" s="263"/>
      <c r="W87" s="263"/>
      <c r="X87" s="263"/>
      <c r="Y87" s="263"/>
      <c r="Z87" s="263"/>
    </row>
    <row r="88" s="109" customFormat="1" ht="18.75" hidden="1" customHeight="1" spans="1:26">
      <c r="A88" s="124"/>
      <c r="B88" s="125"/>
      <c r="C88" s="123" t="s">
        <v>15</v>
      </c>
      <c r="D88" s="243">
        <f t="shared" si="65"/>
        <v>38378.5721326271</v>
      </c>
      <c r="E88" s="243">
        <f t="shared" ref="E88:I88" si="70">E92+E96</f>
        <v>6857.72771341681</v>
      </c>
      <c r="F88" s="243">
        <f t="shared" si="70"/>
        <v>6857.72771341681</v>
      </c>
      <c r="G88" s="243">
        <f t="shared" si="70"/>
        <v>6857.72771341681</v>
      </c>
      <c r="H88" s="243">
        <f t="shared" si="70"/>
        <v>6857.72771341681</v>
      </c>
      <c r="I88" s="243">
        <f t="shared" si="70"/>
        <v>6857.72771341681</v>
      </c>
      <c r="J88" s="261">
        <f t="shared" ref="J88:S88" si="71">J92+J96+J84</f>
        <v>194.350620942367</v>
      </c>
      <c r="K88" s="261">
        <f t="shared" si="71"/>
        <v>231.634199771698</v>
      </c>
      <c r="L88" s="261">
        <f t="shared" si="71"/>
        <v>337.751100766209</v>
      </c>
      <c r="M88" s="261">
        <f t="shared" si="71"/>
        <v>381.602274820727</v>
      </c>
      <c r="N88" s="261">
        <f t="shared" si="71"/>
        <v>427.993623556545</v>
      </c>
      <c r="O88" s="261">
        <f t="shared" si="71"/>
        <v>459.540863201455</v>
      </c>
      <c r="P88" s="261">
        <f t="shared" si="71"/>
        <v>503.997245722804</v>
      </c>
      <c r="Q88" s="261">
        <f t="shared" si="71"/>
        <v>503.997245722804</v>
      </c>
      <c r="R88" s="261">
        <f t="shared" si="71"/>
        <v>518.841354813714</v>
      </c>
      <c r="S88" s="261">
        <f t="shared" si="71"/>
        <v>530.225036224726</v>
      </c>
      <c r="T88" s="263"/>
      <c r="U88" s="263"/>
      <c r="V88" s="263"/>
      <c r="W88" s="263"/>
      <c r="X88" s="263"/>
      <c r="Y88" s="263"/>
      <c r="Z88" s="263"/>
    </row>
    <row r="89" s="109" customFormat="1" ht="32.25" customHeight="1" spans="1:26">
      <c r="A89" s="643" t="s">
        <v>358</v>
      </c>
      <c r="B89" s="118" t="s">
        <v>359</v>
      </c>
      <c r="C89" s="123" t="s">
        <v>4</v>
      </c>
      <c r="D89" s="243">
        <f>SUM(E89:I89)</f>
        <v>66707.1519979537</v>
      </c>
      <c r="E89" s="243">
        <f>(项目投资与资金筹措计划表!E16+项目投资与资金筹措计划表!E28)/(1+10%)*10%+(项目投资与资金筹措计划表!E20)/(1+6%)*6%</f>
        <v>13341.4303995907</v>
      </c>
      <c r="F89" s="243">
        <f>(项目投资与资金筹措计划表!F16+项目投资与资金筹措计划表!F28)/(1+10%)*10%+(项目投资与资金筹措计划表!F20)/(1+6%)*6%</f>
        <v>13341.4303995907</v>
      </c>
      <c r="G89" s="243">
        <f>(项目投资与资金筹措计划表!G16+项目投资与资金筹措计划表!G28)/(1+10%)*10%+(项目投资与资金筹措计划表!G20)/(1+6%)*6%</f>
        <v>13341.4303995907</v>
      </c>
      <c r="H89" s="243">
        <f>(项目投资与资金筹措计划表!H16+项目投资与资金筹措计划表!H28)/(1+10%)*10%+(项目投资与资金筹措计划表!H20)/(1+6%)*6%</f>
        <v>13341.4303995907</v>
      </c>
      <c r="I89" s="243">
        <f>(项目投资与资金筹措计划表!I16+项目投资与资金筹措计划表!I28)/(1+10%)*10%+(项目投资与资金筹措计划表!I20)/(1+6%)*6%</f>
        <v>13341.4303995907</v>
      </c>
      <c r="J89" s="243"/>
      <c r="K89" s="243"/>
      <c r="L89" s="243"/>
      <c r="M89" s="243"/>
      <c r="N89" s="243"/>
      <c r="O89" s="243"/>
      <c r="P89" s="243"/>
      <c r="Q89" s="243"/>
      <c r="R89" s="243"/>
      <c r="S89" s="243"/>
      <c r="T89" s="263"/>
      <c r="U89" s="263"/>
      <c r="V89" s="263"/>
      <c r="W89" s="263"/>
      <c r="X89" s="263"/>
      <c r="Y89" s="263"/>
      <c r="Z89" s="263"/>
    </row>
    <row r="90" s="109" customFormat="1" ht="30" hidden="1" customHeight="1" spans="1:26">
      <c r="A90" s="121"/>
      <c r="B90" s="122"/>
      <c r="C90" s="123" t="s">
        <v>13</v>
      </c>
      <c r="D90" s="243">
        <f t="shared" ref="D90:D92" si="72">SUM(E90:I90)</f>
        <v>20893.068042295</v>
      </c>
      <c r="E90" s="243">
        <f>(项目投资与资金筹措计划表!E17+项目投资与资金筹措计划表!E29)/(1+10%)*10%+(项目投资与资金筹措计划表!E21)/(1+6%)*6%</f>
        <v>4178.61360845901</v>
      </c>
      <c r="F90" s="243">
        <f>(项目投资与资金筹措计划表!F17+项目投资与资金筹措计划表!F29)/(1+10%)*10%+(项目投资与资金筹措计划表!F21)/(1+6%)*6%</f>
        <v>4178.61360845901</v>
      </c>
      <c r="G90" s="243">
        <f>(项目投资与资金筹措计划表!G17+项目投资与资金筹措计划表!G29)/(1+10%)*10%+(项目投资与资金筹措计划表!G21)/(1+6%)*6%</f>
        <v>4178.61360845901</v>
      </c>
      <c r="H90" s="243">
        <f>(项目投资与资金筹措计划表!H17+项目投资与资金筹措计划表!H29)/(1+10%)*10%+(项目投资与资金筹措计划表!H21)/(1+6%)*6%</f>
        <v>4178.61360845901</v>
      </c>
      <c r="I90" s="243">
        <f>(项目投资与资金筹措计划表!I17+项目投资与资金筹措计划表!I29)/(1+10%)*10%+(项目投资与资金筹措计划表!I21)/(1+6%)*6%</f>
        <v>4178.61360845901</v>
      </c>
      <c r="J90" s="243"/>
      <c r="K90" s="243"/>
      <c r="L90" s="243"/>
      <c r="M90" s="243"/>
      <c r="N90" s="243"/>
      <c r="O90" s="243"/>
      <c r="P90" s="243"/>
      <c r="Q90" s="243"/>
      <c r="R90" s="243"/>
      <c r="S90" s="243"/>
      <c r="T90" s="263"/>
      <c r="U90" s="263"/>
      <c r="V90" s="263"/>
      <c r="W90" s="263"/>
      <c r="X90" s="263"/>
      <c r="Y90" s="263"/>
      <c r="Z90" s="263"/>
    </row>
    <row r="91" s="109" customFormat="1" ht="30" hidden="1" customHeight="1" spans="1:26">
      <c r="A91" s="121"/>
      <c r="B91" s="122"/>
      <c r="C91" s="123" t="s">
        <v>14</v>
      </c>
      <c r="D91" s="243">
        <f t="shared" si="72"/>
        <v>11273.4872336655</v>
      </c>
      <c r="E91" s="243">
        <f>(项目投资与资金筹措计划表!E18+项目投资与资金筹措计划表!E30)/(1+10%)*10%+(项目投资与资金筹措计划表!E22)/(1+6%)*6%</f>
        <v>2305.08907771492</v>
      </c>
      <c r="F91" s="243">
        <f>(项目投资与资金筹措计划表!F18+项目投资与资金筹措计划表!F30)/(1+10%)*10%+(项目投资与资金筹措计划表!F22)/(1+6%)*6%</f>
        <v>2305.08907771492</v>
      </c>
      <c r="G91" s="243">
        <f>(项目投资与资金筹措计划表!G18+项目投资与资金筹措计划表!G30)/(1+10%)*10%+(项目投资与资金筹措计划表!G22)/(1+6%)*6%</f>
        <v>2305.08907771492</v>
      </c>
      <c r="H91" s="243">
        <f>项目投资与资金筹措计划表!H18/(1+10%)*10%+(项目投资与资金筹措计划表!H22)/(1+6%)*6%</f>
        <v>2179.11000026038</v>
      </c>
      <c r="I91" s="243">
        <f>项目投资与资金筹措计划表!I18/(1+10%)*10%+(项目投资与资金筹措计划表!I22)/(1+6%)*6%</f>
        <v>2179.11000026038</v>
      </c>
      <c r="J91" s="243"/>
      <c r="K91" s="243"/>
      <c r="L91" s="243"/>
      <c r="M91" s="243"/>
      <c r="N91" s="243"/>
      <c r="O91" s="243"/>
      <c r="P91" s="243"/>
      <c r="Q91" s="243"/>
      <c r="R91" s="243"/>
      <c r="S91" s="243"/>
      <c r="T91" s="263"/>
      <c r="U91" s="263"/>
      <c r="V91" s="263"/>
      <c r="W91" s="263"/>
      <c r="X91" s="263"/>
      <c r="Y91" s="263"/>
      <c r="Z91" s="263"/>
    </row>
    <row r="92" s="109" customFormat="1" ht="30" hidden="1" customHeight="1" spans="1:26">
      <c r="A92" s="124"/>
      <c r="B92" s="125"/>
      <c r="C92" s="123" t="s">
        <v>15</v>
      </c>
      <c r="D92" s="243">
        <f t="shared" si="72"/>
        <v>34288.638567084</v>
      </c>
      <c r="E92" s="243">
        <f>(项目投资与资金筹措计划表!E19+项目投资与资金筹措计划表!E31)/(1+10%)*10%+(项目投资与资金筹措计划表!E23)/(1+6%)*6%</f>
        <v>6857.72771341681</v>
      </c>
      <c r="F92" s="243">
        <f>(项目投资与资金筹措计划表!F19+项目投资与资金筹措计划表!F31)/(1+10%)*10%+(项目投资与资金筹措计划表!F23)/(1+6%)*6%</f>
        <v>6857.72771341681</v>
      </c>
      <c r="G92" s="243">
        <f>(项目投资与资金筹措计划表!G19+项目投资与资金筹措计划表!G31)/(1+10%)*10%+(项目投资与资金筹措计划表!G23)/(1+6%)*6%</f>
        <v>6857.72771341681</v>
      </c>
      <c r="H92" s="243">
        <f>(项目投资与资金筹措计划表!H19+项目投资与资金筹措计划表!H31)/(1+10%)*10%+(项目投资与资金筹措计划表!H23)/(1+6%)*6%</f>
        <v>6857.72771341681</v>
      </c>
      <c r="I92" s="243">
        <f>(项目投资与资金筹措计划表!I19+项目投资与资金筹措计划表!I31)/(1+10%)*10%+(项目投资与资金筹措计划表!I23)/(1+6%)*6%</f>
        <v>6857.72771341681</v>
      </c>
      <c r="J92" s="243"/>
      <c r="K92" s="243"/>
      <c r="L92" s="243"/>
      <c r="M92" s="243"/>
      <c r="N92" s="243"/>
      <c r="O92" s="243"/>
      <c r="P92" s="243"/>
      <c r="Q92" s="243"/>
      <c r="R92" s="243"/>
      <c r="S92" s="243"/>
      <c r="T92" s="263"/>
      <c r="U92" s="263"/>
      <c r="V92" s="263"/>
      <c r="W92" s="263"/>
      <c r="X92" s="263"/>
      <c r="Y92" s="263"/>
      <c r="Z92" s="263"/>
    </row>
    <row r="93" s="109" customFormat="1" ht="30.75" customHeight="1" spans="1:26">
      <c r="A93" s="643" t="s">
        <v>360</v>
      </c>
      <c r="B93" s="118" t="s">
        <v>361</v>
      </c>
      <c r="C93" s="123" t="s">
        <v>4</v>
      </c>
      <c r="D93" s="243">
        <f t="shared" ref="D93:D97" si="73">SUM(E93:S93)</f>
        <v>4251.60579062548</v>
      </c>
      <c r="E93" s="243"/>
      <c r="F93" s="243"/>
      <c r="G93" s="243"/>
      <c r="H93" s="243"/>
      <c r="I93" s="243"/>
      <c r="J93" s="243">
        <f t="shared" ref="J93:S93" si="74">SUM(J94:J96)</f>
        <v>172.482866300021</v>
      </c>
      <c r="K93" s="243">
        <f t="shared" si="74"/>
        <v>219.25813489436</v>
      </c>
      <c r="L93" s="243">
        <f t="shared" si="74"/>
        <v>357.113373758552</v>
      </c>
      <c r="M93" s="243">
        <f t="shared" si="74"/>
        <v>410.63252582344</v>
      </c>
      <c r="N93" s="243">
        <f t="shared" si="74"/>
        <v>446.06355960536</v>
      </c>
      <c r="O93" s="243">
        <f t="shared" si="74"/>
        <v>486.502619601098</v>
      </c>
      <c r="P93" s="243">
        <f t="shared" si="74"/>
        <v>534.495319635978</v>
      </c>
      <c r="Q93" s="243">
        <f t="shared" si="74"/>
        <v>534.495319635978</v>
      </c>
      <c r="R93" s="243">
        <f t="shared" si="74"/>
        <v>537.277556421433</v>
      </c>
      <c r="S93" s="243">
        <f t="shared" si="74"/>
        <v>553.284514949259</v>
      </c>
      <c r="T93" s="263"/>
      <c r="U93" s="263"/>
      <c r="V93" s="263"/>
      <c r="W93" s="263"/>
      <c r="X93" s="263"/>
      <c r="Y93" s="263"/>
      <c r="Z93" s="263"/>
    </row>
    <row r="94" s="109" customFormat="1" ht="16.5" hidden="1" customHeight="1" spans="1:26">
      <c r="A94" s="121"/>
      <c r="B94" s="122"/>
      <c r="C94" s="123" t="s">
        <v>13</v>
      </c>
      <c r="D94" s="243">
        <f t="shared" si="73"/>
        <v>1064.59599772023</v>
      </c>
      <c r="E94" s="243"/>
      <c r="F94" s="243"/>
      <c r="G94" s="243"/>
      <c r="H94" s="243"/>
      <c r="I94" s="243"/>
      <c r="J94" s="243">
        <f>'建设期付息政府付费用估算表 '!J34/(1+6%)*6%+'建设期付息政府付费用估算表 '!J38/(1+10%)*10%</f>
        <v>41.8770263684391</v>
      </c>
      <c r="K94" s="243">
        <f>'建设期付息政府付费用估算表 '!K34/(1+6%)*6%+'建设期付息政府付费用估算表 '!K38/(1+10%)*10%</f>
        <v>51.9044565759863</v>
      </c>
      <c r="L94" s="243">
        <f>'建设期付息政府付费用估算表 '!L34/(1+6%)*6%+'建设期付息政府付费用估算表 '!L38/(1+10%)*10%</f>
        <v>89.3038892562607</v>
      </c>
      <c r="M94" s="243">
        <f>'建设期付息政府付费用估算表 '!M34/(1+6%)*6%+'建设期付息政府付费用估算表 '!M38/(1+10%)*10%</f>
        <v>100.597561087273</v>
      </c>
      <c r="N94" s="243">
        <f>'建设期付息政府付费用估算表 '!N34/(1+6%)*6%+'建设期付息政府付费用估算表 '!N38/(1+10%)*10%</f>
        <v>109.871683705455</v>
      </c>
      <c r="O94" s="243">
        <f>'建设期付息政府付费用估算表 '!O34/(1+6%)*6%+'建设期付息政府付费用估算表 '!O38/(1+10%)*10%</f>
        <v>124.153832537455</v>
      </c>
      <c r="P94" s="243">
        <f>'建设期付息政府付费用估算表 '!P34/(1+6%)*6%+'建设期付息政府付费用估算表 '!P38/(1+10%)*10%</f>
        <v>134.994177119142</v>
      </c>
      <c r="Q94" s="243">
        <f>'建设期付息政府付费用估算表 '!Q34/(1+6%)*6%+'建设期付息政府付费用估算表 '!Q38/(1+10%)*10%</f>
        <v>134.994177119142</v>
      </c>
      <c r="R94" s="243">
        <f>'建设期付息政府付费用估算表 '!R34/(1+6%)*6%+'建设期付息政府付费用估算表 '!R38/(1+10%)*10%</f>
        <v>137.776413904597</v>
      </c>
      <c r="S94" s="243">
        <f>'建设期付息政府付费用估算表 '!S34/(1+6%)*6%+'建设期付息政府付费用估算表 '!S38/(1+10%)*10%</f>
        <v>139.122780046484</v>
      </c>
      <c r="T94" s="263"/>
      <c r="U94" s="263"/>
      <c r="V94" s="263"/>
      <c r="W94" s="263"/>
      <c r="X94" s="263"/>
      <c r="Y94" s="263"/>
      <c r="Z94" s="263"/>
    </row>
    <row r="95" s="109" customFormat="1" ht="16.5" hidden="1" customHeight="1" spans="1:26">
      <c r="A95" s="121"/>
      <c r="B95" s="122"/>
      <c r="C95" s="123" t="s">
        <v>14</v>
      </c>
      <c r="D95" s="243">
        <f t="shared" si="73"/>
        <v>729.463500089469</v>
      </c>
      <c r="E95" s="243"/>
      <c r="F95" s="243"/>
      <c r="G95" s="243"/>
      <c r="H95" s="243"/>
      <c r="I95" s="243"/>
      <c r="J95" s="243">
        <f>'建设期付息政府付费用估算表 '!J35/(1+6%)*6%+'建设期付息政府付费用估算表 '!J39/(1+10%)*10%</f>
        <v>33.151182625578</v>
      </c>
      <c r="K95" s="243">
        <f>'建设期付息政府付费用估算表 '!K35/(1+6%)*6%+'建设期付息政府付费用估算表 '!K39/(1+10%)*10%</f>
        <v>43.0881694557667</v>
      </c>
      <c r="L95" s="243">
        <f>'建设期付息政府付费用估算表 '!L35/(1+6%)*6%+'建设期付息政府付费用估算表 '!L39/(1+10%)*10%</f>
        <v>62.7439110088096</v>
      </c>
      <c r="M95" s="243">
        <f>'建设期付息政府付费用估算表 '!M35/(1+6%)*6%+'建设期付息政府付费用估算表 '!M39/(1+10%)*10%</f>
        <v>71.5909444608945</v>
      </c>
      <c r="N95" s="243">
        <f>'建设期付息政府付费用估算表 '!N35/(1+6%)*6%+'建设期付息政府付费用估算表 '!N39/(1+10%)*10%</f>
        <v>76.6733432524509</v>
      </c>
      <c r="O95" s="243">
        <f>'建设期付息政府付费用估算表 '!O35/(1+6%)*6%+'建设期付息政府付费用估算表 '!O39/(1+10%)*10%</f>
        <v>81.7557420440073</v>
      </c>
      <c r="P95" s="243">
        <f>'建设期付息政府付费用估算表 '!P35/(1+6%)*6%+'建设期付息政府付费用估算表 '!P39/(1+10%)*10%</f>
        <v>89.2958240667588</v>
      </c>
      <c r="Q95" s="243">
        <f>'建设期付息政府付费用估算表 '!Q35/(1+6%)*6%+'建设期付息政府付费用估算表 '!Q39/(1+10%)*10%</f>
        <v>89.2958240667588</v>
      </c>
      <c r="R95" s="243">
        <f>'建设期付息政府付费用估算表 '!R35/(1+6%)*6%+'建设期付息政府付费用估算表 '!R39/(1+10%)*10%</f>
        <v>89.2958240667588</v>
      </c>
      <c r="S95" s="243">
        <f>'建设期付息政府付费用估算表 '!S35/(1+6%)*6%+'建设期付息政府付费用估算表 '!S39/(1+10%)*10%</f>
        <v>92.5727350416857</v>
      </c>
      <c r="T95" s="263"/>
      <c r="U95" s="263"/>
      <c r="V95" s="263"/>
      <c r="W95" s="263"/>
      <c r="X95" s="263"/>
      <c r="Y95" s="263"/>
      <c r="Z95" s="263"/>
    </row>
    <row r="96" s="109" customFormat="1" ht="16.5" hidden="1" customHeight="1" spans="1:26">
      <c r="A96" s="124"/>
      <c r="B96" s="125"/>
      <c r="C96" s="123" t="s">
        <v>15</v>
      </c>
      <c r="D96" s="243">
        <f t="shared" si="73"/>
        <v>2457.54629281578</v>
      </c>
      <c r="E96" s="243"/>
      <c r="F96" s="243"/>
      <c r="G96" s="243"/>
      <c r="H96" s="243"/>
      <c r="I96" s="243"/>
      <c r="J96" s="243">
        <f>'建设期付息政府付费用估算表 '!J36/(1+6%)*6%+'建设期付息政府付费用估算表 '!J40/(1+10%)*10%</f>
        <v>97.4546573060034</v>
      </c>
      <c r="K96" s="243">
        <f>'建设期付息政府付费用估算表 '!K36/(1+6%)*6%+'建设期付息政府付费用估算表 '!K40/(1+10%)*10%</f>
        <v>124.265508862607</v>
      </c>
      <c r="L96" s="243">
        <f>'建设期付息政府付费用估算表 '!L36/(1+6%)*6%+'建设期付息政府付费用估算表 '!L40/(1+10%)*10%</f>
        <v>205.065573493482</v>
      </c>
      <c r="M96" s="243">
        <f>'建设期付息政府付费用估算表 '!M36/(1+6%)*6%+'建设期付息政府付费用估算表 '!M40/(1+10%)*10%</f>
        <v>238.444020275273</v>
      </c>
      <c r="N96" s="243">
        <f>'建设期付息政府付费用估算表 '!N36/(1+6%)*6%+'建设期付息政府付费用估算表 '!N40/(1+10%)*10%</f>
        <v>259.518532647455</v>
      </c>
      <c r="O96" s="243">
        <f>'建设期付息政府付费用估算表 '!O36/(1+6%)*6%+'建设期付息政府付费用估算表 '!O40/(1+10%)*10%</f>
        <v>280.593045019636</v>
      </c>
      <c r="P96" s="243">
        <f>'建设期付息政府付费用估算表 '!P36/(1+6%)*6%+'建设期付息政府付费用估算表 '!P40/(1+10%)*10%</f>
        <v>310.205318450077</v>
      </c>
      <c r="Q96" s="243">
        <f>'建设期付息政府付费用估算表 '!Q36/(1+6%)*6%+'建设期付息政府付费用估算表 '!Q40/(1+10%)*10%</f>
        <v>310.205318450077</v>
      </c>
      <c r="R96" s="243">
        <f>'建设期付息政府付费用估算表 '!R36/(1+6%)*6%+'建设期付息政府付费用估算表 '!R40/(1+10%)*10%</f>
        <v>310.205318450077</v>
      </c>
      <c r="S96" s="243">
        <f>'建设期付息政府付费用估算表 '!S36/(1+6%)*6%+'建设期付息政府付费用估算表 '!S40/(1+10%)*10%</f>
        <v>321.588999861089</v>
      </c>
      <c r="T96" s="263"/>
      <c r="U96" s="263"/>
      <c r="V96" s="263"/>
      <c r="W96" s="263"/>
      <c r="X96" s="263"/>
      <c r="Y96" s="263"/>
      <c r="Z96" s="263"/>
    </row>
    <row r="97" s="109" customFormat="1" ht="27.75" customHeight="1" spans="1:26">
      <c r="A97" s="117">
        <v>1.3</v>
      </c>
      <c r="B97" s="118" t="s">
        <v>362</v>
      </c>
      <c r="C97" s="123" t="s">
        <v>4</v>
      </c>
      <c r="D97" s="243">
        <f t="shared" si="73"/>
        <v>17165.1869476758</v>
      </c>
      <c r="E97" s="243">
        <f>E73-E85</f>
        <v>-13341.4303995907</v>
      </c>
      <c r="F97" s="243">
        <f t="shared" ref="F97:S97" si="75">F73-F85</f>
        <v>-13341.4303995907</v>
      </c>
      <c r="G97" s="243">
        <f t="shared" si="75"/>
        <v>-13341.4303995907</v>
      </c>
      <c r="H97" s="243">
        <f t="shared" si="75"/>
        <v>-13341.4303995907</v>
      </c>
      <c r="I97" s="243">
        <f t="shared" si="75"/>
        <v>-13341.4303995907</v>
      </c>
      <c r="J97" s="243">
        <f t="shared" si="75"/>
        <v>8527.87121936002</v>
      </c>
      <c r="K97" s="243">
        <f t="shared" si="75"/>
        <v>8517.32027596379</v>
      </c>
      <c r="L97" s="243">
        <f t="shared" si="75"/>
        <v>8441.41213874911</v>
      </c>
      <c r="M97" s="243">
        <f t="shared" si="75"/>
        <v>8414.13873760003</v>
      </c>
      <c r="N97" s="243">
        <f t="shared" si="75"/>
        <v>8376.10636711628</v>
      </c>
      <c r="O97" s="243">
        <f t="shared" si="75"/>
        <v>8350.29540108015</v>
      </c>
      <c r="P97" s="243">
        <f t="shared" si="75"/>
        <v>8319.81044691979</v>
      </c>
      <c r="Q97" s="243">
        <f t="shared" si="75"/>
        <v>8319.81044691979</v>
      </c>
      <c r="R97" s="243">
        <f t="shared" si="75"/>
        <v>8304.64932058565</v>
      </c>
      <c r="S97" s="243">
        <f t="shared" si="75"/>
        <v>8300.92459133485</v>
      </c>
      <c r="T97" s="263"/>
      <c r="U97" s="263"/>
      <c r="V97" s="263"/>
      <c r="W97" s="263"/>
      <c r="X97" s="263"/>
      <c r="Y97" s="263"/>
      <c r="Z97" s="263"/>
    </row>
    <row r="98" s="109" customFormat="1" ht="27.75" hidden="1" customHeight="1" spans="1:26">
      <c r="A98" s="121"/>
      <c r="B98" s="122"/>
      <c r="C98" s="123" t="s">
        <v>13</v>
      </c>
      <c r="D98" s="243">
        <f t="shared" ref="D98:D104" si="76">SUM(E98:S98)</f>
        <v>1260.26893947324</v>
      </c>
      <c r="E98" s="243">
        <f>E74-E86</f>
        <v>-4178.61360845901</v>
      </c>
      <c r="F98" s="243">
        <f t="shared" ref="F98:S98" si="77">F74-F86</f>
        <v>-4178.61360845901</v>
      </c>
      <c r="G98" s="243">
        <f t="shared" si="77"/>
        <v>-4178.61360845901</v>
      </c>
      <c r="H98" s="243">
        <f t="shared" si="77"/>
        <v>-4178.61360845901</v>
      </c>
      <c r="I98" s="243">
        <f t="shared" si="77"/>
        <v>-4178.61360845901</v>
      </c>
      <c r="J98" s="243">
        <f t="shared" si="77"/>
        <v>2246.519261024</v>
      </c>
      <c r="K98" s="243">
        <f t="shared" si="77"/>
        <v>2244.27775159004</v>
      </c>
      <c r="L98" s="243">
        <f t="shared" si="77"/>
        <v>2226.43597405316</v>
      </c>
      <c r="M98" s="243">
        <f t="shared" si="77"/>
        <v>2220.69479570668</v>
      </c>
      <c r="N98" s="243">
        <f t="shared" si="77"/>
        <v>2213.35202490736</v>
      </c>
      <c r="O98" s="243">
        <f t="shared" si="77"/>
        <v>2205.72102534812</v>
      </c>
      <c r="P98" s="243">
        <f t="shared" si="77"/>
        <v>2200.40978384802</v>
      </c>
      <c r="Q98" s="243">
        <f t="shared" si="77"/>
        <v>2200.40978384802</v>
      </c>
      <c r="R98" s="243">
        <f t="shared" si="77"/>
        <v>2197.75829072143</v>
      </c>
      <c r="S98" s="243">
        <f t="shared" si="77"/>
        <v>2197.75829072143</v>
      </c>
      <c r="T98" s="263"/>
      <c r="U98" s="263"/>
      <c r="V98" s="263"/>
      <c r="W98" s="263"/>
      <c r="X98" s="263"/>
      <c r="Y98" s="263"/>
      <c r="Z98" s="263"/>
    </row>
    <row r="99" s="109" customFormat="1" ht="27.75" hidden="1" customHeight="1" spans="1:26">
      <c r="A99" s="121"/>
      <c r="B99" s="122"/>
      <c r="C99" s="123" t="s">
        <v>14</v>
      </c>
      <c r="D99" s="243">
        <f t="shared" si="76"/>
        <v>5445.01841632608</v>
      </c>
      <c r="E99" s="243">
        <f>E75-E87</f>
        <v>-2305.08907771492</v>
      </c>
      <c r="F99" s="243">
        <f t="shared" ref="F99:S99" si="78">F75-F87</f>
        <v>-2305.08907771492</v>
      </c>
      <c r="G99" s="243">
        <f t="shared" si="78"/>
        <v>-2305.08907771492</v>
      </c>
      <c r="H99" s="243">
        <f t="shared" si="78"/>
        <v>-2179.11000026038</v>
      </c>
      <c r="I99" s="243">
        <f t="shared" si="78"/>
        <v>-2179.11000026038</v>
      </c>
      <c r="J99" s="243">
        <f t="shared" si="78"/>
        <v>1695.39972988952</v>
      </c>
      <c r="K99" s="243">
        <f t="shared" si="78"/>
        <v>1693.61105064423</v>
      </c>
      <c r="L99" s="243">
        <f t="shared" si="78"/>
        <v>1681.31798975202</v>
      </c>
      <c r="M99" s="243">
        <f t="shared" si="78"/>
        <v>1676.96006654661</v>
      </c>
      <c r="N99" s="243">
        <f t="shared" si="78"/>
        <v>1669.9864262479</v>
      </c>
      <c r="O99" s="243">
        <f t="shared" si="78"/>
        <v>1666.27986066619</v>
      </c>
      <c r="P99" s="243">
        <f t="shared" si="78"/>
        <v>1660.55210159302</v>
      </c>
      <c r="Q99" s="243">
        <f t="shared" si="78"/>
        <v>1660.55210159302</v>
      </c>
      <c r="R99" s="243">
        <f t="shared" si="78"/>
        <v>1657.28502687604</v>
      </c>
      <c r="S99" s="243">
        <f t="shared" si="78"/>
        <v>1656.56129618305</v>
      </c>
      <c r="T99" s="263"/>
      <c r="U99" s="263"/>
      <c r="V99" s="263"/>
      <c r="W99" s="263"/>
      <c r="X99" s="263"/>
      <c r="Y99" s="263"/>
      <c r="Z99" s="263"/>
    </row>
    <row r="100" s="109" customFormat="1" ht="27.75" hidden="1" customHeight="1" spans="1:26">
      <c r="A100" s="124"/>
      <c r="B100" s="125"/>
      <c r="C100" s="123" t="s">
        <v>15</v>
      </c>
      <c r="D100" s="243">
        <f t="shared" si="76"/>
        <v>10711.8577467856</v>
      </c>
      <c r="E100" s="243">
        <f>E76-E88</f>
        <v>-6857.72771341681</v>
      </c>
      <c r="F100" s="243">
        <f t="shared" ref="F100:S100" si="79">F76-F88</f>
        <v>-6857.72771341681</v>
      </c>
      <c r="G100" s="243">
        <f t="shared" si="79"/>
        <v>-6857.72771341681</v>
      </c>
      <c r="H100" s="243">
        <f t="shared" si="79"/>
        <v>-6857.72771341681</v>
      </c>
      <c r="I100" s="243">
        <f t="shared" si="79"/>
        <v>-6857.72771341681</v>
      </c>
      <c r="J100" s="243">
        <f t="shared" si="79"/>
        <v>4585.9522284465</v>
      </c>
      <c r="K100" s="243">
        <f t="shared" si="79"/>
        <v>4579.43147372952</v>
      </c>
      <c r="L100" s="243">
        <f t="shared" si="79"/>
        <v>4533.65817494393</v>
      </c>
      <c r="M100" s="243">
        <f t="shared" si="79"/>
        <v>4516.48387534674</v>
      </c>
      <c r="N100" s="243">
        <f t="shared" si="79"/>
        <v>4492.76791596101</v>
      </c>
      <c r="O100" s="243">
        <f t="shared" si="79"/>
        <v>4478.29451506585</v>
      </c>
      <c r="P100" s="243">
        <f t="shared" si="79"/>
        <v>4458.84856147875</v>
      </c>
      <c r="Q100" s="243">
        <f t="shared" si="79"/>
        <v>4458.84856147875</v>
      </c>
      <c r="R100" s="243">
        <f t="shared" si="79"/>
        <v>4449.60600298818</v>
      </c>
      <c r="S100" s="243">
        <f t="shared" si="79"/>
        <v>4446.60500443038</v>
      </c>
      <c r="T100" s="263"/>
      <c r="U100" s="263"/>
      <c r="V100" s="263"/>
      <c r="W100" s="263"/>
      <c r="X100" s="263"/>
      <c r="Y100" s="263"/>
      <c r="Z100" s="263"/>
    </row>
    <row r="101" s="109" customFormat="1" ht="21.75" customHeight="1" spans="1:26">
      <c r="A101" s="117">
        <v>1.4</v>
      </c>
      <c r="B101" s="118" t="s">
        <v>363</v>
      </c>
      <c r="C101" s="123" t="s">
        <v>4</v>
      </c>
      <c r="D101" s="243">
        <f t="shared" si="76"/>
        <v>-420836.288401563</v>
      </c>
      <c r="E101" s="243">
        <v>0</v>
      </c>
      <c r="F101" s="243">
        <f>E105</f>
        <v>-13341.4303995907</v>
      </c>
      <c r="G101" s="243">
        <f t="shared" ref="G101:S101" si="80">F105</f>
        <v>-26682.8607991815</v>
      </c>
      <c r="H101" s="243">
        <f t="shared" si="80"/>
        <v>-40024.2911987722</v>
      </c>
      <c r="I101" s="243">
        <f t="shared" si="80"/>
        <v>-53365.721598363</v>
      </c>
      <c r="J101" s="243">
        <f t="shared" si="80"/>
        <v>-66707.1519979537</v>
      </c>
      <c r="K101" s="243">
        <f t="shared" si="80"/>
        <v>-58179.2807785937</v>
      </c>
      <c r="L101" s="243">
        <f t="shared" si="80"/>
        <v>-49661.9605026299</v>
      </c>
      <c r="M101" s="243">
        <f t="shared" si="80"/>
        <v>-41220.5483638808</v>
      </c>
      <c r="N101" s="243">
        <f t="shared" si="80"/>
        <v>-32806.4096262807</v>
      </c>
      <c r="O101" s="243">
        <f t="shared" si="80"/>
        <v>-24430.3032591645</v>
      </c>
      <c r="P101" s="243">
        <f t="shared" si="80"/>
        <v>-16080.0078580843</v>
      </c>
      <c r="Q101" s="243">
        <f t="shared" si="80"/>
        <v>-7760.19741116452</v>
      </c>
      <c r="R101" s="243">
        <f t="shared" si="80"/>
        <v>559.613035755265</v>
      </c>
      <c r="S101" s="243">
        <f t="shared" si="80"/>
        <v>8864.26235634092</v>
      </c>
      <c r="T101" s="263"/>
      <c r="U101" s="263"/>
      <c r="V101" s="263"/>
      <c r="W101" s="263"/>
      <c r="X101" s="263"/>
      <c r="Y101" s="263"/>
      <c r="Z101" s="263"/>
    </row>
    <row r="102" s="109" customFormat="1" ht="21.75" hidden="1" customHeight="1" spans="1:26">
      <c r="A102" s="121"/>
      <c r="B102" s="122"/>
      <c r="C102" s="123" t="s">
        <v>13</v>
      </c>
      <c r="D102" s="243">
        <f t="shared" si="76"/>
        <v>-150545.249117101</v>
      </c>
      <c r="E102" s="243">
        <v>0</v>
      </c>
      <c r="F102" s="243">
        <f t="shared" ref="F102:S102" si="81">E106</f>
        <v>-4178.61360845901</v>
      </c>
      <c r="G102" s="243">
        <f t="shared" si="81"/>
        <v>-8357.22721691801</v>
      </c>
      <c r="H102" s="243">
        <f t="shared" si="81"/>
        <v>-12535.840825377</v>
      </c>
      <c r="I102" s="243">
        <f t="shared" si="81"/>
        <v>-16714.454433836</v>
      </c>
      <c r="J102" s="243">
        <f t="shared" si="81"/>
        <v>-20893.068042295</v>
      </c>
      <c r="K102" s="243">
        <f t="shared" si="81"/>
        <v>-18646.548781271</v>
      </c>
      <c r="L102" s="243">
        <f t="shared" si="81"/>
        <v>-16402.271029681</v>
      </c>
      <c r="M102" s="243">
        <f t="shared" si="81"/>
        <v>-14175.8350556278</v>
      </c>
      <c r="N102" s="243">
        <f t="shared" si="81"/>
        <v>-11955.1402599211</v>
      </c>
      <c r="O102" s="243">
        <f t="shared" si="81"/>
        <v>-9741.78823501377</v>
      </c>
      <c r="P102" s="243">
        <f t="shared" si="81"/>
        <v>-7536.06720966565</v>
      </c>
      <c r="Q102" s="243">
        <f t="shared" si="81"/>
        <v>-5335.65742581764</v>
      </c>
      <c r="R102" s="243">
        <f t="shared" si="81"/>
        <v>-3135.24764196962</v>
      </c>
      <c r="S102" s="243">
        <f t="shared" si="81"/>
        <v>-937.48935124819</v>
      </c>
      <c r="T102" s="263"/>
      <c r="U102" s="263"/>
      <c r="V102" s="263"/>
      <c r="W102" s="263"/>
      <c r="X102" s="263"/>
      <c r="Y102" s="263"/>
      <c r="Z102" s="263"/>
    </row>
    <row r="103" s="109" customFormat="1" ht="21.75" hidden="1" customHeight="1" spans="1:26">
      <c r="A103" s="121"/>
      <c r="B103" s="122"/>
      <c r="C103" s="123" t="s">
        <v>14</v>
      </c>
      <c r="D103" s="243">
        <f t="shared" si="76"/>
        <v>-60046.2146259012</v>
      </c>
      <c r="E103" s="243">
        <v>0</v>
      </c>
      <c r="F103" s="243">
        <f t="shared" ref="F103:S103" si="82">E107</f>
        <v>-2305.08907771492</v>
      </c>
      <c r="G103" s="243">
        <f t="shared" si="82"/>
        <v>-4610.17815542984</v>
      </c>
      <c r="H103" s="243">
        <f t="shared" si="82"/>
        <v>-6915.26723314477</v>
      </c>
      <c r="I103" s="243">
        <f t="shared" si="82"/>
        <v>-9094.37723340514</v>
      </c>
      <c r="J103" s="243">
        <f t="shared" si="82"/>
        <v>-11273.4872336655</v>
      </c>
      <c r="K103" s="243">
        <f t="shared" si="82"/>
        <v>-9578.08750377601</v>
      </c>
      <c r="L103" s="243">
        <f t="shared" si="82"/>
        <v>-7884.47645313177</v>
      </c>
      <c r="M103" s="243">
        <f t="shared" si="82"/>
        <v>-6203.15846337975</v>
      </c>
      <c r="N103" s="243">
        <f t="shared" si="82"/>
        <v>-4526.19839683315</v>
      </c>
      <c r="O103" s="243">
        <f t="shared" si="82"/>
        <v>-2856.21197058524</v>
      </c>
      <c r="P103" s="243">
        <f t="shared" si="82"/>
        <v>-1189.93210991906</v>
      </c>
      <c r="Q103" s="243">
        <f t="shared" si="82"/>
        <v>470.619991673967</v>
      </c>
      <c r="R103" s="243">
        <f t="shared" si="82"/>
        <v>2131.17209326699</v>
      </c>
      <c r="S103" s="243">
        <f t="shared" si="82"/>
        <v>3788.45712014303</v>
      </c>
      <c r="T103" s="263"/>
      <c r="U103" s="263"/>
      <c r="V103" s="263"/>
      <c r="W103" s="263"/>
      <c r="X103" s="263"/>
      <c r="Y103" s="263"/>
      <c r="Z103" s="263"/>
    </row>
    <row r="104" s="109" customFormat="1" ht="21.75" hidden="1" customHeight="1" spans="1:26">
      <c r="A104" s="124"/>
      <c r="B104" s="125"/>
      <c r="C104" s="123" t="s">
        <v>15</v>
      </c>
      <c r="D104" s="243">
        <f t="shared" si="76"/>
        <v>-207599.264032016</v>
      </c>
      <c r="E104" s="243">
        <v>0</v>
      </c>
      <c r="F104" s="243">
        <f t="shared" ref="F104:S104" si="83">E108</f>
        <v>-6857.72771341681</v>
      </c>
      <c r="G104" s="243">
        <f t="shared" si="83"/>
        <v>-13715.4554268336</v>
      </c>
      <c r="H104" s="243">
        <f t="shared" si="83"/>
        <v>-20573.1831402504</v>
      </c>
      <c r="I104" s="243">
        <f t="shared" si="83"/>
        <v>-27430.9108536672</v>
      </c>
      <c r="J104" s="243">
        <f t="shared" si="83"/>
        <v>-34288.638567084</v>
      </c>
      <c r="K104" s="243">
        <f t="shared" si="83"/>
        <v>-29702.6863386375</v>
      </c>
      <c r="L104" s="243">
        <f t="shared" si="83"/>
        <v>-25123.254864908</v>
      </c>
      <c r="M104" s="243">
        <f t="shared" si="83"/>
        <v>-20589.5966899641</v>
      </c>
      <c r="N104" s="243">
        <f t="shared" si="83"/>
        <v>-16073.1128146174</v>
      </c>
      <c r="O104" s="243">
        <f t="shared" si="83"/>
        <v>-11580.3448986563</v>
      </c>
      <c r="P104" s="243">
        <f t="shared" si="83"/>
        <v>-7102.0503835905</v>
      </c>
      <c r="Q104" s="243">
        <f t="shared" si="83"/>
        <v>-2643.20182211175</v>
      </c>
      <c r="R104" s="243">
        <f t="shared" si="83"/>
        <v>1815.646739367</v>
      </c>
      <c r="S104" s="243">
        <f t="shared" si="83"/>
        <v>6265.25274235518</v>
      </c>
      <c r="T104" s="263"/>
      <c r="U104" s="263"/>
      <c r="V104" s="263"/>
      <c r="W104" s="263"/>
      <c r="X104" s="263"/>
      <c r="Y104" s="263"/>
      <c r="Z104" s="263"/>
    </row>
    <row r="105" s="179" customFormat="1" ht="21.75" customHeight="1" spans="1:26">
      <c r="A105" s="117">
        <v>1.5</v>
      </c>
      <c r="B105" s="118" t="s">
        <v>364</v>
      </c>
      <c r="C105" s="119" t="s">
        <v>4</v>
      </c>
      <c r="D105" s="247"/>
      <c r="E105" s="247">
        <f>E97</f>
        <v>-13341.4303995907</v>
      </c>
      <c r="F105" s="247">
        <f>F97+F101</f>
        <v>-26682.8607991815</v>
      </c>
      <c r="G105" s="247">
        <f t="shared" ref="G105:O105" si="84">G97+G101</f>
        <v>-40024.2911987722</v>
      </c>
      <c r="H105" s="247">
        <f t="shared" si="84"/>
        <v>-53365.721598363</v>
      </c>
      <c r="I105" s="247">
        <f t="shared" si="84"/>
        <v>-66707.1519979537</v>
      </c>
      <c r="J105" s="247">
        <f t="shared" si="84"/>
        <v>-58179.2807785937</v>
      </c>
      <c r="K105" s="247">
        <f t="shared" si="84"/>
        <v>-49661.9605026299</v>
      </c>
      <c r="L105" s="247">
        <f t="shared" si="84"/>
        <v>-41220.5483638808</v>
      </c>
      <c r="M105" s="247">
        <f t="shared" si="84"/>
        <v>-32806.4096262807</v>
      </c>
      <c r="N105" s="247">
        <f t="shared" si="84"/>
        <v>-24430.3032591645</v>
      </c>
      <c r="O105" s="247">
        <f t="shared" si="84"/>
        <v>-16080.0078580843</v>
      </c>
      <c r="P105" s="247">
        <f t="shared" ref="P105:S105" si="85">P97+P101</f>
        <v>-7760.19741116452</v>
      </c>
      <c r="Q105" s="247">
        <f t="shared" si="85"/>
        <v>559.613035755265</v>
      </c>
      <c r="R105" s="247">
        <f t="shared" si="85"/>
        <v>8864.26235634092</v>
      </c>
      <c r="S105" s="247">
        <f t="shared" si="85"/>
        <v>17165.1869476758</v>
      </c>
      <c r="T105" s="264"/>
      <c r="U105" s="264"/>
      <c r="V105" s="264"/>
      <c r="W105" s="264"/>
      <c r="X105" s="264"/>
      <c r="Y105" s="264"/>
      <c r="Z105" s="264"/>
    </row>
    <row r="106" s="109" customFormat="1" ht="21.75" hidden="1" customHeight="1" spans="1:26">
      <c r="A106" s="121"/>
      <c r="B106" s="122"/>
      <c r="C106" s="123" t="s">
        <v>13</v>
      </c>
      <c r="D106" s="243"/>
      <c r="E106" s="243">
        <f>E98+E102</f>
        <v>-4178.61360845901</v>
      </c>
      <c r="F106" s="247">
        <f>F98+F102</f>
        <v>-8357.22721691801</v>
      </c>
      <c r="G106" s="247">
        <f t="shared" ref="G106:S106" si="86">G98+G102</f>
        <v>-12535.840825377</v>
      </c>
      <c r="H106" s="247">
        <f t="shared" si="86"/>
        <v>-16714.454433836</v>
      </c>
      <c r="I106" s="247">
        <f t="shared" si="86"/>
        <v>-20893.068042295</v>
      </c>
      <c r="J106" s="247">
        <f t="shared" si="86"/>
        <v>-18646.548781271</v>
      </c>
      <c r="K106" s="247">
        <f t="shared" si="86"/>
        <v>-16402.271029681</v>
      </c>
      <c r="L106" s="247">
        <f t="shared" si="86"/>
        <v>-14175.8350556278</v>
      </c>
      <c r="M106" s="247">
        <f t="shared" si="86"/>
        <v>-11955.1402599211</v>
      </c>
      <c r="N106" s="247">
        <f t="shared" si="86"/>
        <v>-9741.78823501377</v>
      </c>
      <c r="O106" s="247">
        <f t="shared" si="86"/>
        <v>-7536.06720966565</v>
      </c>
      <c r="P106" s="247">
        <f t="shared" si="86"/>
        <v>-5335.65742581764</v>
      </c>
      <c r="Q106" s="247">
        <f t="shared" si="86"/>
        <v>-3135.24764196962</v>
      </c>
      <c r="R106" s="247">
        <f t="shared" si="86"/>
        <v>-937.48935124819</v>
      </c>
      <c r="S106" s="247">
        <f t="shared" si="86"/>
        <v>1260.26893947324</v>
      </c>
      <c r="T106" s="263"/>
      <c r="U106" s="263"/>
      <c r="V106" s="263"/>
      <c r="W106" s="263"/>
      <c r="X106" s="263"/>
      <c r="Y106" s="263"/>
      <c r="Z106" s="263"/>
    </row>
    <row r="107" s="109" customFormat="1" ht="21.75" hidden="1" customHeight="1" spans="1:26">
      <c r="A107" s="121"/>
      <c r="B107" s="122"/>
      <c r="C107" s="123" t="s">
        <v>14</v>
      </c>
      <c r="D107" s="243"/>
      <c r="E107" s="243">
        <f t="shared" ref="E107:S107" si="87">E99+E103</f>
        <v>-2305.08907771492</v>
      </c>
      <c r="F107" s="247">
        <f t="shared" si="87"/>
        <v>-4610.17815542984</v>
      </c>
      <c r="G107" s="247">
        <f t="shared" si="87"/>
        <v>-6915.26723314477</v>
      </c>
      <c r="H107" s="247">
        <f t="shared" si="87"/>
        <v>-9094.37723340514</v>
      </c>
      <c r="I107" s="247">
        <f t="shared" si="87"/>
        <v>-11273.4872336655</v>
      </c>
      <c r="J107" s="247">
        <f t="shared" si="87"/>
        <v>-9578.08750377601</v>
      </c>
      <c r="K107" s="247">
        <f t="shared" si="87"/>
        <v>-7884.47645313177</v>
      </c>
      <c r="L107" s="247">
        <f t="shared" si="87"/>
        <v>-6203.15846337975</v>
      </c>
      <c r="M107" s="247">
        <f t="shared" si="87"/>
        <v>-4526.19839683315</v>
      </c>
      <c r="N107" s="247">
        <f t="shared" si="87"/>
        <v>-2856.21197058524</v>
      </c>
      <c r="O107" s="247">
        <f t="shared" si="87"/>
        <v>-1189.93210991906</v>
      </c>
      <c r="P107" s="247">
        <f t="shared" si="87"/>
        <v>470.619991673967</v>
      </c>
      <c r="Q107" s="247">
        <f t="shared" si="87"/>
        <v>2131.17209326699</v>
      </c>
      <c r="R107" s="247">
        <f t="shared" si="87"/>
        <v>3788.45712014303</v>
      </c>
      <c r="S107" s="247">
        <f t="shared" si="87"/>
        <v>5445.01841632608</v>
      </c>
      <c r="T107" s="263"/>
      <c r="U107" s="263"/>
      <c r="V107" s="263"/>
      <c r="W107" s="263"/>
      <c r="X107" s="263"/>
      <c r="Y107" s="263"/>
      <c r="Z107" s="263"/>
    </row>
    <row r="108" s="109" customFormat="1" ht="21.75" hidden="1" customHeight="1" spans="1:26">
      <c r="A108" s="124"/>
      <c r="B108" s="125"/>
      <c r="C108" s="123" t="s">
        <v>15</v>
      </c>
      <c r="D108" s="243"/>
      <c r="E108" s="243">
        <f t="shared" ref="E108:O108" si="88">E100+E104</f>
        <v>-6857.72771341681</v>
      </c>
      <c r="F108" s="247">
        <f t="shared" si="88"/>
        <v>-13715.4554268336</v>
      </c>
      <c r="G108" s="247">
        <f t="shared" si="88"/>
        <v>-20573.1831402504</v>
      </c>
      <c r="H108" s="247">
        <f t="shared" si="88"/>
        <v>-27430.9108536672</v>
      </c>
      <c r="I108" s="247">
        <f t="shared" si="88"/>
        <v>-34288.638567084</v>
      </c>
      <c r="J108" s="247">
        <f t="shared" si="88"/>
        <v>-29702.6863386375</v>
      </c>
      <c r="K108" s="247">
        <f t="shared" si="88"/>
        <v>-25123.254864908</v>
      </c>
      <c r="L108" s="247">
        <f t="shared" si="88"/>
        <v>-20589.5966899641</v>
      </c>
      <c r="M108" s="247">
        <f t="shared" si="88"/>
        <v>-16073.1128146174</v>
      </c>
      <c r="N108" s="247">
        <f t="shared" si="88"/>
        <v>-11580.3448986563</v>
      </c>
      <c r="O108" s="247">
        <f t="shared" si="88"/>
        <v>-7102.0503835905</v>
      </c>
      <c r="P108" s="247">
        <f t="shared" ref="P108:S108" si="89">P100+P104</f>
        <v>-2643.20182211175</v>
      </c>
      <c r="Q108" s="247">
        <f t="shared" si="89"/>
        <v>1815.646739367</v>
      </c>
      <c r="R108" s="247">
        <f t="shared" si="89"/>
        <v>6265.25274235518</v>
      </c>
      <c r="S108" s="247">
        <f t="shared" si="89"/>
        <v>10711.8577467856</v>
      </c>
      <c r="T108" s="263"/>
      <c r="U108" s="263"/>
      <c r="V108" s="263"/>
      <c r="W108" s="263"/>
      <c r="X108" s="263"/>
      <c r="Y108" s="263"/>
      <c r="Z108" s="263"/>
    </row>
    <row r="109" s="109" customFormat="1" ht="21.75" customHeight="1" spans="1:19">
      <c r="A109" s="117">
        <v>2</v>
      </c>
      <c r="B109" s="118" t="s">
        <v>365</v>
      </c>
      <c r="C109" s="123" t="s">
        <v>4</v>
      </c>
      <c r="D109" s="243">
        <f t="shared" ref="D109:D124" si="90">SUM(E109:S109)</f>
        <v>2059.82243372109</v>
      </c>
      <c r="E109" s="243">
        <f>E113+E117+E121</f>
        <v>0</v>
      </c>
      <c r="F109" s="243">
        <f t="shared" ref="F109:L109" si="91">F113+F117+F121</f>
        <v>0</v>
      </c>
      <c r="G109" s="243">
        <f t="shared" si="91"/>
        <v>0</v>
      </c>
      <c r="H109" s="243">
        <f t="shared" si="91"/>
        <v>0</v>
      </c>
      <c r="I109" s="243">
        <f t="shared" si="91"/>
        <v>0</v>
      </c>
      <c r="J109" s="243">
        <f t="shared" si="91"/>
        <v>0</v>
      </c>
      <c r="K109" s="243">
        <f t="shared" si="91"/>
        <v>0</v>
      </c>
      <c r="L109" s="243">
        <f t="shared" si="91"/>
        <v>0</v>
      </c>
      <c r="M109" s="243">
        <f t="shared" ref="M109:O109" si="92">M113+M117+M121</f>
        <v>0</v>
      </c>
      <c r="N109" s="243">
        <f t="shared" si="92"/>
        <v>0</v>
      </c>
      <c r="O109" s="243">
        <f t="shared" si="92"/>
        <v>0</v>
      </c>
      <c r="P109" s="243">
        <f t="shared" ref="P109:Q112" si="93">P113+P117+P121</f>
        <v>0</v>
      </c>
      <c r="Q109" s="243">
        <f t="shared" si="93"/>
        <v>67.1535642906318</v>
      </c>
      <c r="R109" s="243">
        <f t="shared" ref="R109:S109" si="94">R113+R117+R121</f>
        <v>996.557918470278</v>
      </c>
      <c r="S109" s="243">
        <f t="shared" si="94"/>
        <v>996.110950960182</v>
      </c>
    </row>
    <row r="110" s="109" customFormat="1" ht="21.75" hidden="1" customHeight="1" spans="1:19">
      <c r="A110" s="121"/>
      <c r="B110" s="122"/>
      <c r="C110" s="123" t="s">
        <v>13</v>
      </c>
      <c r="D110" s="243">
        <f t="shared" si="90"/>
        <v>-309.371485911903</v>
      </c>
      <c r="E110" s="243"/>
      <c r="F110" s="243"/>
      <c r="G110" s="243"/>
      <c r="H110" s="243"/>
      <c r="I110" s="243"/>
      <c r="J110" s="243"/>
      <c r="K110" s="243"/>
      <c r="L110" s="243"/>
      <c r="M110" s="243"/>
      <c r="N110" s="243"/>
      <c r="O110" s="243"/>
      <c r="P110" s="243">
        <f t="shared" si="93"/>
        <v>0</v>
      </c>
      <c r="Q110" s="243">
        <f t="shared" si="93"/>
        <v>-344.877240616658</v>
      </c>
      <c r="R110" s="243">
        <f t="shared" ref="R110:S110" si="95">R114+R118+R122</f>
        <v>-103.123828637301</v>
      </c>
      <c r="S110" s="243">
        <f t="shared" si="95"/>
        <v>138.629583342056</v>
      </c>
    </row>
    <row r="111" s="109" customFormat="1" ht="21.75" hidden="1" customHeight="1" spans="1:19">
      <c r="A111" s="121"/>
      <c r="B111" s="122"/>
      <c r="C111" s="123" t="s">
        <v>14</v>
      </c>
      <c r="D111" s="243">
        <f t="shared" si="90"/>
        <v>1250.11123927097</v>
      </c>
      <c r="E111" s="243"/>
      <c r="F111" s="243"/>
      <c r="G111" s="243"/>
      <c r="H111" s="243"/>
      <c r="I111" s="243"/>
      <c r="J111" s="243"/>
      <c r="K111" s="243"/>
      <c r="L111" s="243"/>
      <c r="M111" s="243"/>
      <c r="N111" s="243"/>
      <c r="O111" s="243"/>
      <c r="P111" s="243">
        <f t="shared" si="93"/>
        <v>0</v>
      </c>
      <c r="Q111" s="243">
        <f t="shared" si="93"/>
        <v>234.428930259369</v>
      </c>
      <c r="R111" s="243">
        <f t="shared" ref="R111:S111" si="96">R115+R119+R123</f>
        <v>416.730283215733</v>
      </c>
      <c r="S111" s="243">
        <f t="shared" si="96"/>
        <v>598.952025795868</v>
      </c>
    </row>
    <row r="112" s="109" customFormat="1" ht="21.75" hidden="1" customHeight="1" spans="1:19">
      <c r="A112" s="124"/>
      <c r="B112" s="125"/>
      <c r="C112" s="123" t="s">
        <v>15</v>
      </c>
      <c r="D112" s="243">
        <f t="shared" si="90"/>
        <v>2067.20329513585</v>
      </c>
      <c r="E112" s="243"/>
      <c r="F112" s="243"/>
      <c r="G112" s="243"/>
      <c r="H112" s="243"/>
      <c r="I112" s="243"/>
      <c r="J112" s="243"/>
      <c r="K112" s="243"/>
      <c r="L112" s="243"/>
      <c r="M112" s="243"/>
      <c r="N112" s="243"/>
      <c r="O112" s="243"/>
      <c r="P112" s="243">
        <f t="shared" si="93"/>
        <v>0</v>
      </c>
      <c r="Q112" s="243">
        <f t="shared" si="93"/>
        <v>199.72114133037</v>
      </c>
      <c r="R112" s="243">
        <f t="shared" ref="R112:S112" si="97">R116+R120+R124</f>
        <v>689.177801659069</v>
      </c>
      <c r="S112" s="243">
        <f t="shared" si="97"/>
        <v>1178.30435214641</v>
      </c>
    </row>
    <row r="113" s="109" customFormat="1" ht="18.75" customHeight="1" spans="1:19">
      <c r="A113" s="117">
        <v>2.1</v>
      </c>
      <c r="B113" s="118" t="s">
        <v>366</v>
      </c>
      <c r="C113" s="123" t="s">
        <v>4</v>
      </c>
      <c r="D113" s="243">
        <f t="shared" si="90"/>
        <v>1201.5630863373</v>
      </c>
      <c r="E113" s="243">
        <f>E69*7%</f>
        <v>0</v>
      </c>
      <c r="F113" s="243">
        <f t="shared" ref="F113:S113" si="98">F69*7%</f>
        <v>0</v>
      </c>
      <c r="G113" s="243">
        <f t="shared" si="98"/>
        <v>0</v>
      </c>
      <c r="H113" s="243">
        <f t="shared" si="98"/>
        <v>0</v>
      </c>
      <c r="I113" s="243">
        <f t="shared" si="98"/>
        <v>0</v>
      </c>
      <c r="J113" s="243">
        <f t="shared" si="98"/>
        <v>0</v>
      </c>
      <c r="K113" s="243">
        <f t="shared" si="98"/>
        <v>0</v>
      </c>
      <c r="L113" s="243">
        <f t="shared" si="98"/>
        <v>0</v>
      </c>
      <c r="M113" s="243">
        <f t="shared" si="98"/>
        <v>0</v>
      </c>
      <c r="N113" s="243">
        <f t="shared" si="98"/>
        <v>0</v>
      </c>
      <c r="O113" s="243">
        <f t="shared" si="98"/>
        <v>0</v>
      </c>
      <c r="P113" s="243">
        <f t="shared" ref="P113" si="99">P69*7%</f>
        <v>0</v>
      </c>
      <c r="Q113" s="243">
        <f t="shared" si="98"/>
        <v>39.1729125028685</v>
      </c>
      <c r="R113" s="243">
        <f t="shared" si="98"/>
        <v>581.325452440996</v>
      </c>
      <c r="S113" s="243">
        <f t="shared" si="98"/>
        <v>581.06472139344</v>
      </c>
    </row>
    <row r="114" s="109" customFormat="1" ht="18.75" hidden="1" customHeight="1" spans="1:19">
      <c r="A114" s="121"/>
      <c r="B114" s="122"/>
      <c r="C114" s="123" t="s">
        <v>13</v>
      </c>
      <c r="D114" s="243">
        <f t="shared" si="90"/>
        <v>-168.748083224674</v>
      </c>
      <c r="E114" s="243"/>
      <c r="F114" s="243"/>
      <c r="G114" s="243"/>
      <c r="H114" s="243"/>
      <c r="I114" s="243"/>
      <c r="J114" s="243"/>
      <c r="K114" s="243"/>
      <c r="L114" s="243"/>
      <c r="M114" s="243"/>
      <c r="N114" s="243"/>
      <c r="O114" s="243"/>
      <c r="P114" s="243">
        <f t="shared" ref="P114" si="100">P70*6%</f>
        <v>0</v>
      </c>
      <c r="Q114" s="243">
        <f t="shared" ref="Q114:R114" si="101">Q70*6%</f>
        <v>-188.114858518177</v>
      </c>
      <c r="R114" s="243">
        <f t="shared" si="101"/>
        <v>-56.2493610748914</v>
      </c>
      <c r="S114" s="243">
        <f t="shared" ref="S114" si="102">S70*6%</f>
        <v>75.6161363683944</v>
      </c>
    </row>
    <row r="115" s="109" customFormat="1" ht="18.75" hidden="1" customHeight="1" spans="1:19">
      <c r="A115" s="121"/>
      <c r="B115" s="122"/>
      <c r="C115" s="123" t="s">
        <v>14</v>
      </c>
      <c r="D115" s="243">
        <f t="shared" si="90"/>
        <v>681.878857784166</v>
      </c>
      <c r="E115" s="243"/>
      <c r="F115" s="243"/>
      <c r="G115" s="243"/>
      <c r="H115" s="243"/>
      <c r="I115" s="243"/>
      <c r="J115" s="243"/>
      <c r="K115" s="243"/>
      <c r="L115" s="243"/>
      <c r="M115" s="243"/>
      <c r="N115" s="243"/>
      <c r="O115" s="243"/>
      <c r="P115" s="243">
        <f t="shared" ref="P115" si="103">P71*6%</f>
        <v>0</v>
      </c>
      <c r="Q115" s="243">
        <f t="shared" ref="Q115:R115" si="104">Q71*6%</f>
        <v>127.870325596019</v>
      </c>
      <c r="R115" s="243">
        <f t="shared" si="104"/>
        <v>227.307427208582</v>
      </c>
      <c r="S115" s="243">
        <f t="shared" ref="S115" si="105">S71*6%</f>
        <v>326.701104979565</v>
      </c>
    </row>
    <row r="116" s="109" customFormat="1" ht="18.75" hidden="1" customHeight="1" spans="1:19">
      <c r="A116" s="124"/>
      <c r="B116" s="125"/>
      <c r="C116" s="123" t="s">
        <v>15</v>
      </c>
      <c r="D116" s="243">
        <f t="shared" si="90"/>
        <v>1127.56543371046</v>
      </c>
      <c r="E116" s="243"/>
      <c r="F116" s="243"/>
      <c r="G116" s="243"/>
      <c r="H116" s="243"/>
      <c r="I116" s="243"/>
      <c r="J116" s="243"/>
      <c r="K116" s="243"/>
      <c r="L116" s="243"/>
      <c r="M116" s="243"/>
      <c r="N116" s="243"/>
      <c r="O116" s="243"/>
      <c r="P116" s="243">
        <f t="shared" ref="P116" si="106">P72*6%</f>
        <v>0</v>
      </c>
      <c r="Q116" s="243">
        <f t="shared" ref="Q116:R116" si="107">Q72*6%</f>
        <v>108.93880436202</v>
      </c>
      <c r="R116" s="243">
        <f t="shared" si="107"/>
        <v>375.915164541311</v>
      </c>
      <c r="S116" s="243">
        <f t="shared" ref="S116" si="108">S72*6%</f>
        <v>642.711464807133</v>
      </c>
    </row>
    <row r="117" s="109" customFormat="1" ht="18.75" customHeight="1" spans="1:19">
      <c r="A117" s="117">
        <v>2.2</v>
      </c>
      <c r="B117" s="118" t="s">
        <v>367</v>
      </c>
      <c r="C117" s="123" t="s">
        <v>4</v>
      </c>
      <c r="D117" s="243">
        <f t="shared" si="90"/>
        <v>514.955608430273</v>
      </c>
      <c r="E117" s="243">
        <f t="shared" ref="E117:L117" si="109">E69*3%</f>
        <v>0</v>
      </c>
      <c r="F117" s="243">
        <f t="shared" si="109"/>
        <v>0</v>
      </c>
      <c r="G117" s="243">
        <f t="shared" si="109"/>
        <v>0</v>
      </c>
      <c r="H117" s="243">
        <f t="shared" si="109"/>
        <v>0</v>
      </c>
      <c r="I117" s="243">
        <f t="shared" si="109"/>
        <v>0</v>
      </c>
      <c r="J117" s="243">
        <f t="shared" si="109"/>
        <v>0</v>
      </c>
      <c r="K117" s="243">
        <f t="shared" si="109"/>
        <v>0</v>
      </c>
      <c r="L117" s="243">
        <f t="shared" si="109"/>
        <v>0</v>
      </c>
      <c r="M117" s="243">
        <f t="shared" ref="M117:N117" si="110">M69*3%</f>
        <v>0</v>
      </c>
      <c r="N117" s="243">
        <f t="shared" si="110"/>
        <v>0</v>
      </c>
      <c r="O117" s="243">
        <v>0</v>
      </c>
      <c r="P117" s="243">
        <f>P69*3%</f>
        <v>0</v>
      </c>
      <c r="Q117" s="243">
        <f>Q69*3%</f>
        <v>16.7883910726579</v>
      </c>
      <c r="R117" s="243">
        <f t="shared" ref="R117:S117" si="111">R69*3%</f>
        <v>249.13947961757</v>
      </c>
      <c r="S117" s="243">
        <f t="shared" si="111"/>
        <v>249.027737740046</v>
      </c>
    </row>
    <row r="118" s="109" customFormat="1" ht="18.75" hidden="1" customHeight="1" spans="1:19">
      <c r="A118" s="121"/>
      <c r="B118" s="122"/>
      <c r="C118" s="123" t="s">
        <v>13</v>
      </c>
      <c r="D118" s="243">
        <f t="shared" si="90"/>
        <v>-84.3740416123371</v>
      </c>
      <c r="E118" s="243"/>
      <c r="F118" s="243"/>
      <c r="G118" s="243"/>
      <c r="H118" s="243"/>
      <c r="I118" s="243"/>
      <c r="J118" s="243"/>
      <c r="K118" s="243"/>
      <c r="L118" s="243"/>
      <c r="M118" s="243"/>
      <c r="N118" s="243"/>
      <c r="O118" s="243"/>
      <c r="P118" s="243">
        <f t="shared" ref="P118" si="112">P70*3%</f>
        <v>0</v>
      </c>
      <c r="Q118" s="243">
        <f t="shared" ref="Q118:S120" si="113">Q70*3%</f>
        <v>-94.0574292590886</v>
      </c>
      <c r="R118" s="243">
        <f t="shared" si="113"/>
        <v>-28.1246805374457</v>
      </c>
      <c r="S118" s="243">
        <f t="shared" si="113"/>
        <v>37.8080681841972</v>
      </c>
    </row>
    <row r="119" s="109" customFormat="1" ht="18.75" hidden="1" customHeight="1" spans="1:19">
      <c r="A119" s="121"/>
      <c r="B119" s="122"/>
      <c r="C119" s="123" t="s">
        <v>14</v>
      </c>
      <c r="D119" s="243">
        <f t="shared" si="90"/>
        <v>340.939428892083</v>
      </c>
      <c r="E119" s="243"/>
      <c r="F119" s="243"/>
      <c r="G119" s="243"/>
      <c r="H119" s="243"/>
      <c r="I119" s="243"/>
      <c r="J119" s="243"/>
      <c r="K119" s="243"/>
      <c r="L119" s="243"/>
      <c r="M119" s="243"/>
      <c r="N119" s="243"/>
      <c r="O119" s="243"/>
      <c r="P119" s="243">
        <f t="shared" ref="P119" si="114">P71*3%</f>
        <v>0</v>
      </c>
      <c r="Q119" s="243">
        <f t="shared" si="113"/>
        <v>63.9351627980097</v>
      </c>
      <c r="R119" s="243">
        <f t="shared" si="113"/>
        <v>113.653713604291</v>
      </c>
      <c r="S119" s="243">
        <f t="shared" si="113"/>
        <v>163.350552489782</v>
      </c>
    </row>
    <row r="120" s="109" customFormat="1" ht="18.75" hidden="1" customHeight="1" spans="1:19">
      <c r="A120" s="124"/>
      <c r="B120" s="125"/>
      <c r="C120" s="123" t="s">
        <v>15</v>
      </c>
      <c r="D120" s="243">
        <f t="shared" si="90"/>
        <v>563.782716855232</v>
      </c>
      <c r="E120" s="243"/>
      <c r="F120" s="243"/>
      <c r="G120" s="243"/>
      <c r="H120" s="243"/>
      <c r="I120" s="243"/>
      <c r="J120" s="243"/>
      <c r="K120" s="243"/>
      <c r="L120" s="243"/>
      <c r="M120" s="243"/>
      <c r="N120" s="243"/>
      <c r="O120" s="243"/>
      <c r="P120" s="243">
        <f t="shared" ref="P120" si="115">P72*3%</f>
        <v>0</v>
      </c>
      <c r="Q120" s="243">
        <f t="shared" si="113"/>
        <v>54.4694021810099</v>
      </c>
      <c r="R120" s="243">
        <f t="shared" si="113"/>
        <v>187.957582270655</v>
      </c>
      <c r="S120" s="243">
        <f t="shared" si="113"/>
        <v>321.355732403567</v>
      </c>
    </row>
    <row r="121" s="109" customFormat="1" ht="18.75" customHeight="1" spans="1:19">
      <c r="A121" s="199">
        <v>2.3</v>
      </c>
      <c r="B121" s="118" t="s">
        <v>368</v>
      </c>
      <c r="C121" s="123" t="s">
        <v>4</v>
      </c>
      <c r="D121" s="243">
        <f t="shared" si="90"/>
        <v>343.303738953515</v>
      </c>
      <c r="E121" s="243">
        <f t="shared" ref="E121:L121" si="116">E69*2%</f>
        <v>0</v>
      </c>
      <c r="F121" s="243">
        <f t="shared" si="116"/>
        <v>0</v>
      </c>
      <c r="G121" s="243">
        <f t="shared" si="116"/>
        <v>0</v>
      </c>
      <c r="H121" s="243">
        <f t="shared" si="116"/>
        <v>0</v>
      </c>
      <c r="I121" s="243">
        <f t="shared" si="116"/>
        <v>0</v>
      </c>
      <c r="J121" s="243">
        <f t="shared" si="116"/>
        <v>0</v>
      </c>
      <c r="K121" s="243">
        <f t="shared" si="116"/>
        <v>0</v>
      </c>
      <c r="L121" s="243">
        <f t="shared" si="116"/>
        <v>0</v>
      </c>
      <c r="M121" s="243">
        <f t="shared" ref="M121:N121" si="117">M69*2%</f>
        <v>0</v>
      </c>
      <c r="N121" s="243">
        <f t="shared" si="117"/>
        <v>0</v>
      </c>
      <c r="O121" s="243">
        <v>0</v>
      </c>
      <c r="P121" s="243">
        <f>P69*2%</f>
        <v>0</v>
      </c>
      <c r="Q121" s="243">
        <f>Q69*2%</f>
        <v>11.1922607151053</v>
      </c>
      <c r="R121" s="243">
        <f t="shared" ref="R121:S121" si="118">R69*2%</f>
        <v>166.092986411713</v>
      </c>
      <c r="S121" s="243">
        <f t="shared" si="118"/>
        <v>166.018491826697</v>
      </c>
    </row>
    <row r="122" ht="18.75" hidden="1" customHeight="1" spans="1:26">
      <c r="A122" s="255"/>
      <c r="B122" s="256"/>
      <c r="C122" s="196" t="s">
        <v>13</v>
      </c>
      <c r="D122" s="226">
        <f t="shared" si="90"/>
        <v>-56.2493610748914</v>
      </c>
      <c r="E122" s="226"/>
      <c r="F122" s="226"/>
      <c r="G122" s="226"/>
      <c r="H122" s="226"/>
      <c r="I122" s="226"/>
      <c r="J122" s="226"/>
      <c r="K122" s="226"/>
      <c r="L122" s="226"/>
      <c r="M122" s="226"/>
      <c r="N122" s="226"/>
      <c r="O122" s="226"/>
      <c r="P122" s="226">
        <f t="shared" ref="P122" si="119">P70*2%</f>
        <v>0</v>
      </c>
      <c r="Q122" s="226">
        <f t="shared" ref="Q122:S124" si="120">Q70*2%</f>
        <v>-62.7049528393924</v>
      </c>
      <c r="R122" s="226">
        <f t="shared" si="120"/>
        <v>-18.7497870249638</v>
      </c>
      <c r="S122" s="226">
        <f t="shared" si="120"/>
        <v>25.2053787894648</v>
      </c>
      <c r="T122"/>
      <c r="U122"/>
      <c r="V122"/>
      <c r="W122"/>
      <c r="X122"/>
      <c r="Y122"/>
      <c r="Z122"/>
    </row>
    <row r="123" ht="18.75" hidden="1" customHeight="1" spans="1:26">
      <c r="A123" s="255"/>
      <c r="B123" s="256"/>
      <c r="C123" s="196" t="s">
        <v>14</v>
      </c>
      <c r="D123" s="226">
        <f t="shared" si="90"/>
        <v>227.292952594722</v>
      </c>
      <c r="E123" s="226"/>
      <c r="F123" s="226"/>
      <c r="G123" s="226"/>
      <c r="H123" s="226"/>
      <c r="I123" s="226"/>
      <c r="J123" s="226"/>
      <c r="K123" s="226"/>
      <c r="L123" s="226"/>
      <c r="M123" s="226"/>
      <c r="N123" s="226"/>
      <c r="O123" s="226"/>
      <c r="P123" s="226">
        <f t="shared" ref="P123" si="121">P71*2%</f>
        <v>0</v>
      </c>
      <c r="Q123" s="226">
        <f t="shared" si="120"/>
        <v>42.6234418653398</v>
      </c>
      <c r="R123" s="226">
        <f t="shared" si="120"/>
        <v>75.7691424028606</v>
      </c>
      <c r="S123" s="226">
        <f t="shared" si="120"/>
        <v>108.900368326522</v>
      </c>
      <c r="T123"/>
      <c r="U123"/>
      <c r="V123"/>
      <c r="W123"/>
      <c r="X123"/>
      <c r="Y123"/>
      <c r="Z123"/>
    </row>
    <row r="124" ht="18.75" hidden="1" customHeight="1" spans="1:26">
      <c r="A124" s="208"/>
      <c r="B124" s="209"/>
      <c r="C124" s="196" t="s">
        <v>15</v>
      </c>
      <c r="D124" s="226">
        <f t="shared" si="90"/>
        <v>375.855144570154</v>
      </c>
      <c r="E124" s="226"/>
      <c r="F124" s="226"/>
      <c r="G124" s="226"/>
      <c r="H124" s="226"/>
      <c r="I124" s="226"/>
      <c r="J124" s="226"/>
      <c r="K124" s="226"/>
      <c r="L124" s="226"/>
      <c r="M124" s="226"/>
      <c r="N124" s="226"/>
      <c r="O124" s="226"/>
      <c r="P124" s="226">
        <f t="shared" ref="P124" si="122">P72*2%</f>
        <v>0</v>
      </c>
      <c r="Q124" s="226">
        <f t="shared" si="120"/>
        <v>36.3129347873399</v>
      </c>
      <c r="R124" s="226">
        <f t="shared" si="120"/>
        <v>125.305054847104</v>
      </c>
      <c r="S124" s="226">
        <f t="shared" si="120"/>
        <v>214.237154935711</v>
      </c>
      <c r="T124"/>
      <c r="U124"/>
      <c r="V124"/>
      <c r="W124"/>
      <c r="X124"/>
      <c r="Y124"/>
      <c r="Z124"/>
    </row>
    <row r="125" spans="1:26">
      <c r="A125"/>
      <c r="B125" s="257"/>
      <c r="C125" s="258"/>
      <c r="S125"/>
      <c r="T125"/>
      <c r="U125"/>
      <c r="V125"/>
      <c r="W125"/>
      <c r="X125"/>
      <c r="Y125"/>
      <c r="Z125"/>
    </row>
    <row r="126" ht="136.5" customHeight="1" spans="1:26">
      <c r="A126"/>
      <c r="E126" s="259"/>
      <c r="F126" s="259"/>
      <c r="G126" s="259"/>
      <c r="I126" s="259"/>
      <c r="K126" s="262"/>
      <c r="M126" s="182">
        <f>L126*0.06</f>
        <v>0</v>
      </c>
      <c r="Q126" s="262"/>
      <c r="R126" s="266"/>
      <c r="S126"/>
      <c r="T126"/>
      <c r="U126"/>
      <c r="V126"/>
      <c r="W126"/>
      <c r="X126"/>
      <c r="Y126"/>
      <c r="Z126"/>
    </row>
  </sheetData>
  <mergeCells count="57">
    <mergeCell ref="A1:S1"/>
    <mergeCell ref="E2:I2"/>
    <mergeCell ref="J2:S2"/>
    <mergeCell ref="B61:E61"/>
    <mergeCell ref="A65:S65"/>
    <mergeCell ref="E66:I66"/>
    <mergeCell ref="J66:S66"/>
    <mergeCell ref="A2:A4"/>
    <mergeCell ref="A5:A8"/>
    <mergeCell ref="A9:A12"/>
    <mergeCell ref="A13:A16"/>
    <mergeCell ref="A17:A20"/>
    <mergeCell ref="A21:A24"/>
    <mergeCell ref="A25:A28"/>
    <mergeCell ref="A29:A32"/>
    <mergeCell ref="A33:A36"/>
    <mergeCell ref="A37:A40"/>
    <mergeCell ref="A41:A44"/>
    <mergeCell ref="A45:A48"/>
    <mergeCell ref="A49:A52"/>
    <mergeCell ref="A53:A56"/>
    <mergeCell ref="A57:A60"/>
    <mergeCell ref="A66:A68"/>
    <mergeCell ref="A69:A72"/>
    <mergeCell ref="A73:A76"/>
    <mergeCell ref="A77:A80"/>
    <mergeCell ref="A81:A84"/>
    <mergeCell ref="A85:A88"/>
    <mergeCell ref="A89:A92"/>
    <mergeCell ref="A93:A96"/>
    <mergeCell ref="A97:A100"/>
    <mergeCell ref="A101:A104"/>
    <mergeCell ref="A105:A108"/>
    <mergeCell ref="A109:A112"/>
    <mergeCell ref="A113:A116"/>
    <mergeCell ref="A117:A120"/>
    <mergeCell ref="A121:A124"/>
    <mergeCell ref="B2:B4"/>
    <mergeCell ref="B5:B8"/>
    <mergeCell ref="B9:B12"/>
    <mergeCell ref="B13:B16"/>
    <mergeCell ref="B17:B20"/>
    <mergeCell ref="B21:B24"/>
    <mergeCell ref="B25:B28"/>
    <mergeCell ref="B29:B32"/>
    <mergeCell ref="B33:B36"/>
    <mergeCell ref="B37:B40"/>
    <mergeCell ref="B41:B44"/>
    <mergeCell ref="B45:B48"/>
    <mergeCell ref="B49:B52"/>
    <mergeCell ref="B53:B56"/>
    <mergeCell ref="B57:B60"/>
    <mergeCell ref="B66:B68"/>
    <mergeCell ref="C2:C4"/>
    <mergeCell ref="C66:C68"/>
    <mergeCell ref="D2:D4"/>
    <mergeCell ref="D66:D68"/>
  </mergeCells>
  <pageMargins left="0.700694444444445" right="0.503472222222222" top="0.751388888888889" bottom="0.751388888888889" header="0.298611111111111" footer="0.298611111111111"/>
  <pageSetup paperSize="9" orientation="landscape" horizontalDpi="600"/>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70C0"/>
  </sheetPr>
  <dimension ref="A1:S116"/>
  <sheetViews>
    <sheetView workbookViewId="0">
      <pane ySplit="4" topLeftCell="A5" activePane="bottomLeft" state="frozen"/>
      <selection/>
      <selection pane="bottomLeft" activeCell="I73" sqref="I73"/>
    </sheetView>
  </sheetViews>
  <sheetFormatPr defaultColWidth="9" defaultRowHeight="14.25"/>
  <cols>
    <col min="1" max="1" width="5.25" style="109" customWidth="1"/>
    <col min="2" max="2" width="12.25" style="109" customWidth="1"/>
    <col min="3" max="3" width="6.375" style="109" customWidth="1"/>
    <col min="4" max="4" width="11.75" style="109" customWidth="1"/>
    <col min="5" max="5" width="11.25" style="109" customWidth="1"/>
    <col min="6" max="6" width="13.875" style="109" customWidth="1"/>
    <col min="7" max="8" width="12.25" style="109" customWidth="1"/>
    <col min="9" max="9" width="14.125" style="109" customWidth="1"/>
    <col min="10" max="10" width="11.875" style="109" customWidth="1"/>
    <col min="11" max="11" width="12.75" style="109" customWidth="1"/>
    <col min="12" max="14" width="12.25" style="109" customWidth="1"/>
    <col min="15" max="15" width="11.25" style="109" customWidth="1"/>
    <col min="16" max="19" width="11.375" style="109" customWidth="1"/>
    <col min="20" max="16384" width="9" style="109"/>
  </cols>
  <sheetData>
    <row r="1" ht="25.5" customHeight="1" spans="1:19">
      <c r="A1" s="110" t="s">
        <v>369</v>
      </c>
      <c r="B1" s="110"/>
      <c r="C1" s="110"/>
      <c r="D1" s="110"/>
      <c r="E1" s="110"/>
      <c r="F1" s="110"/>
      <c r="G1" s="110"/>
      <c r="H1" s="110"/>
      <c r="I1" s="110"/>
      <c r="J1" s="110"/>
      <c r="K1" s="110"/>
      <c r="L1" s="110"/>
      <c r="M1" s="110"/>
      <c r="N1" s="110"/>
      <c r="O1" s="110"/>
      <c r="P1" s="110"/>
      <c r="Q1" s="110"/>
      <c r="R1" s="110"/>
      <c r="S1" s="110"/>
    </row>
    <row r="2" spans="1:19">
      <c r="A2" s="111" t="s">
        <v>1</v>
      </c>
      <c r="B2" s="111" t="s">
        <v>2</v>
      </c>
      <c r="C2" s="112" t="s">
        <v>3</v>
      </c>
      <c r="D2" s="111" t="s">
        <v>4</v>
      </c>
      <c r="E2" s="111" t="s">
        <v>5</v>
      </c>
      <c r="F2" s="152"/>
      <c r="G2" s="152"/>
      <c r="H2" s="152"/>
      <c r="I2" s="152"/>
      <c r="J2" s="111" t="s">
        <v>43</v>
      </c>
      <c r="K2" s="111"/>
      <c r="L2" s="111"/>
      <c r="M2" s="111"/>
      <c r="N2" s="111"/>
      <c r="O2" s="111"/>
      <c r="P2" s="111"/>
      <c r="Q2" s="111"/>
      <c r="R2" s="111"/>
      <c r="S2" s="111"/>
    </row>
    <row r="3" spans="1:19">
      <c r="A3" s="111"/>
      <c r="B3" s="111"/>
      <c r="C3" s="114"/>
      <c r="D3" s="111"/>
      <c r="E3" s="111" t="s">
        <v>6</v>
      </c>
      <c r="F3" s="111" t="s">
        <v>7</v>
      </c>
      <c r="G3" s="111" t="s">
        <v>8</v>
      </c>
      <c r="H3" s="111" t="s">
        <v>9</v>
      </c>
      <c r="I3" s="111" t="s">
        <v>10</v>
      </c>
      <c r="J3" s="111" t="s">
        <v>235</v>
      </c>
      <c r="K3" s="111" t="s">
        <v>236</v>
      </c>
      <c r="L3" s="111" t="s">
        <v>237</v>
      </c>
      <c r="M3" s="111" t="s">
        <v>238</v>
      </c>
      <c r="N3" s="111" t="s">
        <v>239</v>
      </c>
      <c r="O3" s="111" t="s">
        <v>240</v>
      </c>
      <c r="P3" s="111" t="s">
        <v>241</v>
      </c>
      <c r="Q3" s="111" t="s">
        <v>242</v>
      </c>
      <c r="R3" s="111" t="s">
        <v>243</v>
      </c>
      <c r="S3" s="111" t="s">
        <v>244</v>
      </c>
    </row>
    <row r="4" spans="1:19">
      <c r="A4" s="111"/>
      <c r="B4" s="111"/>
      <c r="C4" s="116"/>
      <c r="D4" s="111"/>
      <c r="E4" s="152">
        <v>1</v>
      </c>
      <c r="F4" s="152">
        <v>2</v>
      </c>
      <c r="G4" s="152">
        <v>3</v>
      </c>
      <c r="H4" s="152">
        <v>4</v>
      </c>
      <c r="I4" s="152">
        <v>5</v>
      </c>
      <c r="J4" s="152">
        <v>6</v>
      </c>
      <c r="K4" s="152">
        <v>7</v>
      </c>
      <c r="L4" s="152">
        <v>8</v>
      </c>
      <c r="M4" s="152">
        <v>9</v>
      </c>
      <c r="N4" s="152">
        <v>10</v>
      </c>
      <c r="O4" s="152">
        <v>11</v>
      </c>
      <c r="P4" s="152">
        <v>12</v>
      </c>
      <c r="Q4" s="152">
        <v>13</v>
      </c>
      <c r="R4" s="152">
        <v>14</v>
      </c>
      <c r="S4" s="152">
        <v>15</v>
      </c>
    </row>
    <row r="5" ht="15.75" customHeight="1" spans="1:19">
      <c r="A5" s="117">
        <v>1</v>
      </c>
      <c r="B5" s="118" t="s">
        <v>370</v>
      </c>
      <c r="C5" s="119" t="s">
        <v>4</v>
      </c>
      <c r="D5" s="120">
        <f>SUM(E5:S5)</f>
        <v>1719924.73686932</v>
      </c>
      <c r="E5" s="120">
        <f>E9+E13+E17+E21+E25</f>
        <v>6379.99481858648</v>
      </c>
      <c r="F5" s="120">
        <f t="shared" ref="F5:S5" si="0">F9+F13+F17+F21+F25</f>
        <v>18293.4831329594</v>
      </c>
      <c r="G5" s="120">
        <f t="shared" si="0"/>
        <v>29360.4701245324</v>
      </c>
      <c r="H5" s="120">
        <f t="shared" si="0"/>
        <v>37887.9531477054</v>
      </c>
      <c r="I5" s="120">
        <f t="shared" si="0"/>
        <v>42837.5626383684</v>
      </c>
      <c r="J5" s="120">
        <f t="shared" si="0"/>
        <v>155386.150473327</v>
      </c>
      <c r="K5" s="120">
        <f t="shared" si="0"/>
        <v>156212.513551827</v>
      </c>
      <c r="L5" s="120">
        <f t="shared" si="0"/>
        <v>157742.610667635</v>
      </c>
      <c r="M5" s="120">
        <f t="shared" si="0"/>
        <v>158392.685600481</v>
      </c>
      <c r="N5" s="120">
        <f t="shared" si="0"/>
        <v>158782.426972082</v>
      </c>
      <c r="O5" s="120">
        <f t="shared" si="0"/>
        <v>159227.256632035</v>
      </c>
      <c r="P5" s="120">
        <f t="shared" si="0"/>
        <v>159785.858462485</v>
      </c>
      <c r="Q5" s="120">
        <f t="shared" si="0"/>
        <v>159785.858462485</v>
      </c>
      <c r="R5" s="120">
        <f t="shared" si="0"/>
        <v>159816.463067125</v>
      </c>
      <c r="S5" s="120">
        <f t="shared" si="0"/>
        <v>160033.449117686</v>
      </c>
    </row>
    <row r="6" ht="15.75" customHeight="1" spans="1:19">
      <c r="A6" s="121"/>
      <c r="B6" s="122"/>
      <c r="C6" s="123" t="s">
        <v>13</v>
      </c>
      <c r="D6" s="120">
        <f>SUM(E6:S6)</f>
        <v>448968.412125458</v>
      </c>
      <c r="E6" s="120">
        <f>E9+E14+E18+E22+E26</f>
        <v>1525.90647468112</v>
      </c>
      <c r="F6" s="120">
        <f t="shared" ref="F6:S6" si="1">F9+F14+F18+F22+F26</f>
        <v>4429.73826764336</v>
      </c>
      <c r="G6" s="120">
        <f t="shared" si="1"/>
        <v>7185.5889042056</v>
      </c>
      <c r="H6" s="120">
        <f t="shared" si="1"/>
        <v>9497.49607156784</v>
      </c>
      <c r="I6" s="120">
        <f t="shared" si="1"/>
        <v>11365.4597697301</v>
      </c>
      <c r="J6" s="120">
        <f t="shared" si="1"/>
        <v>40711.2188105998</v>
      </c>
      <c r="K6" s="120">
        <f t="shared" si="1"/>
        <v>40888.3700775998</v>
      </c>
      <c r="L6" s="120">
        <f t="shared" si="1"/>
        <v>41301.7834517998</v>
      </c>
      <c r="M6" s="120">
        <f t="shared" si="1"/>
        <v>41439.4775033598</v>
      </c>
      <c r="N6" s="120">
        <f t="shared" si="1"/>
        <v>41541.4928521598</v>
      </c>
      <c r="O6" s="120">
        <f t="shared" si="1"/>
        <v>41698.5964893118</v>
      </c>
      <c r="P6" s="120">
        <f t="shared" si="1"/>
        <v>41824.5721104198</v>
      </c>
      <c r="Q6" s="120">
        <f t="shared" si="1"/>
        <v>41824.5721104198</v>
      </c>
      <c r="R6" s="120">
        <f t="shared" si="1"/>
        <v>41855.1767150598</v>
      </c>
      <c r="S6" s="120">
        <f t="shared" si="1"/>
        <v>41878.9625168998</v>
      </c>
    </row>
    <row r="7" ht="15.75" customHeight="1" spans="1:19">
      <c r="A7" s="121"/>
      <c r="B7" s="122"/>
      <c r="C7" s="123" t="s">
        <v>14</v>
      </c>
      <c r="D7" s="120">
        <f t="shared" ref="D7:D16" si="2">SUM(E7:S7)</f>
        <v>340583.10231283</v>
      </c>
      <c r="E7" s="120">
        <f>E10+E15+E19+E23+E27</f>
        <v>1342.65596765496</v>
      </c>
      <c r="F7" s="120">
        <f t="shared" ref="F7:S7" si="3">F10+F15+F19+F23+F27</f>
        <v>3822.10010656488</v>
      </c>
      <c r="G7" s="120">
        <f t="shared" si="3"/>
        <v>6095.6764490748</v>
      </c>
      <c r="H7" s="120">
        <f t="shared" si="3"/>
        <v>7751.64940238472</v>
      </c>
      <c r="I7" s="120">
        <f t="shared" si="3"/>
        <v>7751.64940238472</v>
      </c>
      <c r="J7" s="120">
        <f t="shared" si="3"/>
        <v>30868.8877477667</v>
      </c>
      <c r="K7" s="120">
        <f t="shared" si="3"/>
        <v>31044.4411817667</v>
      </c>
      <c r="L7" s="120">
        <f t="shared" si="3"/>
        <v>31263.8335267747</v>
      </c>
      <c r="M7" s="120">
        <f t="shared" si="3"/>
        <v>31374.7411411325</v>
      </c>
      <c r="N7" s="120">
        <f t="shared" si="3"/>
        <v>31430.6475278396</v>
      </c>
      <c r="O7" s="120">
        <f t="shared" si="3"/>
        <v>31486.5539145467</v>
      </c>
      <c r="P7" s="120">
        <f t="shared" si="3"/>
        <v>31576.2899399895</v>
      </c>
      <c r="Q7" s="120">
        <f t="shared" si="3"/>
        <v>31576.2899399895</v>
      </c>
      <c r="R7" s="120">
        <f t="shared" si="3"/>
        <v>31576.2899399895</v>
      </c>
      <c r="S7" s="120">
        <f t="shared" si="3"/>
        <v>31621.3961249703</v>
      </c>
    </row>
    <row r="8" ht="15.75" customHeight="1" spans="1:19">
      <c r="A8" s="124"/>
      <c r="B8" s="125"/>
      <c r="C8" s="123" t="s">
        <v>15</v>
      </c>
      <c r="D8" s="120">
        <f t="shared" si="2"/>
        <v>930373.222431035</v>
      </c>
      <c r="E8" s="120">
        <f>E11+E16+E20+E24+E28</f>
        <v>3511.4323762504</v>
      </c>
      <c r="F8" s="120">
        <f t="shared" ref="F8:S8" si="4">F11+F16+F20+F24+F28</f>
        <v>10041.6447587512</v>
      </c>
      <c r="G8" s="120">
        <f t="shared" si="4"/>
        <v>16079.204771252</v>
      </c>
      <c r="H8" s="120">
        <f t="shared" si="4"/>
        <v>20638.8076737528</v>
      </c>
      <c r="I8" s="120">
        <f t="shared" si="4"/>
        <v>23720.4534662536</v>
      </c>
      <c r="J8" s="120">
        <f t="shared" si="4"/>
        <v>83806.0439149609</v>
      </c>
      <c r="K8" s="120">
        <f t="shared" si="4"/>
        <v>84279.7022924609</v>
      </c>
      <c r="L8" s="120">
        <f t="shared" si="4"/>
        <v>85176.9936890609</v>
      </c>
      <c r="M8" s="120">
        <f t="shared" si="4"/>
        <v>85578.4669559889</v>
      </c>
      <c r="N8" s="120">
        <f t="shared" si="4"/>
        <v>85810.2865920829</v>
      </c>
      <c r="O8" s="120">
        <f t="shared" si="4"/>
        <v>86042.1062281769</v>
      </c>
      <c r="P8" s="120">
        <f t="shared" si="4"/>
        <v>86384.9964120759</v>
      </c>
      <c r="Q8" s="120">
        <f t="shared" si="4"/>
        <v>86384.9964120759</v>
      </c>
      <c r="R8" s="120">
        <f t="shared" si="4"/>
        <v>86384.9964120759</v>
      </c>
      <c r="S8" s="120">
        <f t="shared" si="4"/>
        <v>86533.0904758159</v>
      </c>
    </row>
    <row r="9" ht="15.75" customHeight="1" spans="1:19">
      <c r="A9" s="117">
        <v>1.1</v>
      </c>
      <c r="B9" s="118" t="s">
        <v>371</v>
      </c>
      <c r="C9" s="119" t="s">
        <v>4</v>
      </c>
      <c r="D9" s="120">
        <f t="shared" si="2"/>
        <v>0</v>
      </c>
      <c r="E9" s="120">
        <f>SUM(E10:E12)</f>
        <v>0</v>
      </c>
      <c r="F9" s="120">
        <f t="shared" ref="F9:S9" si="5">SUM(F10:F12)</f>
        <v>0</v>
      </c>
      <c r="G9" s="120">
        <f t="shared" si="5"/>
        <v>0</v>
      </c>
      <c r="H9" s="120">
        <f t="shared" si="5"/>
        <v>0</v>
      </c>
      <c r="I9" s="120">
        <f t="shared" si="5"/>
        <v>0</v>
      </c>
      <c r="J9" s="120">
        <f t="shared" si="5"/>
        <v>0</v>
      </c>
      <c r="K9" s="120">
        <f t="shared" si="5"/>
        <v>0</v>
      </c>
      <c r="L9" s="120">
        <f t="shared" si="5"/>
        <v>0</v>
      </c>
      <c r="M9" s="120">
        <f t="shared" si="5"/>
        <v>0</v>
      </c>
      <c r="N9" s="120">
        <f t="shared" si="5"/>
        <v>0</v>
      </c>
      <c r="O9" s="120">
        <f t="shared" si="5"/>
        <v>0</v>
      </c>
      <c r="P9" s="120">
        <f t="shared" si="5"/>
        <v>0</v>
      </c>
      <c r="Q9" s="120">
        <f t="shared" si="5"/>
        <v>0</v>
      </c>
      <c r="R9" s="120">
        <f t="shared" si="5"/>
        <v>0</v>
      </c>
      <c r="S9" s="120">
        <f t="shared" si="5"/>
        <v>0</v>
      </c>
    </row>
    <row r="10" ht="15.75" customHeight="1" spans="1:19">
      <c r="A10" s="121"/>
      <c r="B10" s="122"/>
      <c r="C10" s="123" t="s">
        <v>13</v>
      </c>
      <c r="D10" s="120">
        <f t="shared" si="2"/>
        <v>0</v>
      </c>
      <c r="E10" s="120"/>
      <c r="F10" s="120"/>
      <c r="G10" s="120"/>
      <c r="H10" s="120"/>
      <c r="I10" s="120"/>
      <c r="J10" s="120"/>
      <c r="K10" s="120"/>
      <c r="L10" s="120"/>
      <c r="M10" s="120"/>
      <c r="N10" s="120"/>
      <c r="O10" s="120"/>
      <c r="P10" s="120"/>
      <c r="Q10" s="120"/>
      <c r="R10" s="120"/>
      <c r="S10" s="120"/>
    </row>
    <row r="11" ht="15.75" customHeight="1" spans="1:19">
      <c r="A11" s="121"/>
      <c r="B11" s="122"/>
      <c r="C11" s="123" t="s">
        <v>14</v>
      </c>
      <c r="D11" s="120">
        <f t="shared" si="2"/>
        <v>0</v>
      </c>
      <c r="E11" s="120"/>
      <c r="F11" s="120"/>
      <c r="G11" s="120"/>
      <c r="H11" s="120"/>
      <c r="I11" s="120"/>
      <c r="J11" s="120"/>
      <c r="K11" s="120"/>
      <c r="L11" s="120"/>
      <c r="M11" s="120"/>
      <c r="N11" s="120"/>
      <c r="O11" s="120"/>
      <c r="P11" s="120"/>
      <c r="Q11" s="120"/>
      <c r="R11" s="120"/>
      <c r="S11" s="120"/>
    </row>
    <row r="12" ht="15.75" customHeight="1" spans="1:19">
      <c r="A12" s="124"/>
      <c r="B12" s="125"/>
      <c r="C12" s="123" t="s">
        <v>15</v>
      </c>
      <c r="D12" s="120">
        <f t="shared" si="2"/>
        <v>0</v>
      </c>
      <c r="E12" s="120"/>
      <c r="F12" s="120"/>
      <c r="G12" s="120"/>
      <c r="H12" s="120"/>
      <c r="I12" s="120"/>
      <c r="J12" s="120"/>
      <c r="K12" s="120"/>
      <c r="L12" s="120"/>
      <c r="M12" s="120"/>
      <c r="N12" s="120"/>
      <c r="O12" s="120"/>
      <c r="P12" s="120"/>
      <c r="Q12" s="120"/>
      <c r="R12" s="120"/>
      <c r="S12" s="120"/>
    </row>
    <row r="13" ht="15.75" customHeight="1" spans="1:19">
      <c r="A13" s="117">
        <v>1.2</v>
      </c>
      <c r="B13" s="118" t="s">
        <v>372</v>
      </c>
      <c r="C13" s="119" t="s">
        <v>4</v>
      </c>
      <c r="D13" s="120">
        <f t="shared" si="2"/>
        <v>1691615.82086932</v>
      </c>
      <c r="E13" s="120">
        <f>'建设期付息政府付费用估算表 '!E9</f>
        <v>6379.99481858648</v>
      </c>
      <c r="F13" s="120">
        <f>'建设期付息政府付费用估算表 '!F9</f>
        <v>18293.4831329594</v>
      </c>
      <c r="G13" s="120">
        <f>'建设期付息政府付费用估算表 '!G9</f>
        <v>29360.4701245324</v>
      </c>
      <c r="H13" s="120">
        <f>'建设期付息政府付费用估算表 '!H9</f>
        <v>37887.9531477054</v>
      </c>
      <c r="I13" s="120">
        <f>'建设期付息政府付费用估算表 '!I9</f>
        <v>42837.5626383684</v>
      </c>
      <c r="J13" s="120">
        <f>'建设期付息政府付费用估算表 '!J9</f>
        <v>153706.255513327</v>
      </c>
      <c r="K13" s="120">
        <f>'建设期付息政府付费用估算表 '!K9</f>
        <v>154346.218591827</v>
      </c>
      <c r="L13" s="120">
        <f>'建设期付息政府付费用估算表 '!L9</f>
        <v>155440.617387635</v>
      </c>
      <c r="M13" s="120">
        <f>'建设期付息政府付费用估算表 '!M9</f>
        <v>155904.292320481</v>
      </c>
      <c r="N13" s="120">
        <f>'建设期付息政府付费用估算表 '!N9</f>
        <v>155858.335372082</v>
      </c>
      <c r="O13" s="120">
        <f>'建设期付息政府付费用估算表 '!O9</f>
        <v>156116.765032035</v>
      </c>
      <c r="P13" s="120">
        <f>'建设期付息政府付费用估算表 '!P9</f>
        <v>156426.068542485</v>
      </c>
      <c r="Q13" s="120">
        <f>'建设期付息政府付费用估算表 '!Q9</f>
        <v>156426.068542485</v>
      </c>
      <c r="R13" s="120">
        <f>'建设期付息政府付费用估算表 '!R9</f>
        <v>156207.374827125</v>
      </c>
      <c r="S13" s="120">
        <f>'建设期付息政府付费用估算表 '!S9</f>
        <v>156424.360877686</v>
      </c>
    </row>
    <row r="14" ht="15.75" customHeight="1" spans="1:19">
      <c r="A14" s="121"/>
      <c r="B14" s="122"/>
      <c r="C14" s="123" t="s">
        <v>13</v>
      </c>
      <c r="D14" s="120">
        <f t="shared" si="2"/>
        <v>444187.672125458</v>
      </c>
      <c r="E14" s="120">
        <f>'建设期付息政府付费用估算表 '!E10</f>
        <v>1525.90647468112</v>
      </c>
      <c r="F14" s="120">
        <f>'建设期付息政府付费用估算表 '!F10</f>
        <v>4429.73826764336</v>
      </c>
      <c r="G14" s="120">
        <f>'建设期付息政府付费用估算表 '!G10</f>
        <v>7185.5889042056</v>
      </c>
      <c r="H14" s="120">
        <f>'建设期付息政府付费用估算表 '!H10</f>
        <v>9497.49607156784</v>
      </c>
      <c r="I14" s="120">
        <f>'建设期付息政府付费用估算表 '!I10</f>
        <v>11365.4597697301</v>
      </c>
      <c r="J14" s="120">
        <f>'建设期付息政府付费用估算表 '!J10</f>
        <v>40428.3344105998</v>
      </c>
      <c r="K14" s="120">
        <f>'建设期付息政府付费用估算表 '!K10</f>
        <v>40565.8856775998</v>
      </c>
      <c r="L14" s="120">
        <f>'建设期付息政府付费用估算表 '!L10</f>
        <v>40911.4042517998</v>
      </c>
      <c r="M14" s="120">
        <f>'建设期付息政府付费用估算表 '!M10</f>
        <v>41009.4983033598</v>
      </c>
      <c r="N14" s="120">
        <f>'建设期付息政府付费用估算表 '!N10</f>
        <v>41043.6188521598</v>
      </c>
      <c r="O14" s="120">
        <f>'建设期付息政府付费用估算表 '!O10</f>
        <v>41161.1224893118</v>
      </c>
      <c r="P14" s="120">
        <f>'建设期付息政府付费用估算表 '!P10</f>
        <v>41258.8033104198</v>
      </c>
      <c r="Q14" s="120">
        <f>'建设期付息政府付费用估算表 '!Q10</f>
        <v>41258.8033104198</v>
      </c>
      <c r="R14" s="120">
        <f>'建设期付息政府付费用估算表 '!R10</f>
        <v>41261.1131150598</v>
      </c>
      <c r="S14" s="120">
        <f>'建设期付息政府付费用估算表 '!S10</f>
        <v>41284.8989168998</v>
      </c>
    </row>
    <row r="15" ht="15.75" customHeight="1" spans="1:19">
      <c r="A15" s="121"/>
      <c r="B15" s="122"/>
      <c r="C15" s="123" t="s">
        <v>14</v>
      </c>
      <c r="D15" s="120">
        <f t="shared" si="2"/>
        <v>335011.18631283</v>
      </c>
      <c r="E15" s="120">
        <f>'建设期付息政府付费用估算表 '!E11</f>
        <v>1342.65596765496</v>
      </c>
      <c r="F15" s="120">
        <f>'建设期付息政府付费用估算表 '!F11</f>
        <v>3822.10010656488</v>
      </c>
      <c r="G15" s="120">
        <f>'建设期付息政府付费用估算表 '!G11</f>
        <v>6095.6764490748</v>
      </c>
      <c r="H15" s="120">
        <f>'建设期付息政府付费用估算表 '!H11</f>
        <v>7751.64940238472</v>
      </c>
      <c r="I15" s="120">
        <f>'建设期付息政府付费用估算表 '!I11</f>
        <v>7751.64940238472</v>
      </c>
      <c r="J15" s="120">
        <f>'建设期付息政府付费用估算表 '!J11</f>
        <v>30537.7327877667</v>
      </c>
      <c r="K15" s="120">
        <f>'建设期付息政府付费用估算表 '!K11</f>
        <v>30681.6862217667</v>
      </c>
      <c r="L15" s="120">
        <f>'建设期付息政府付费用估算表 '!L11</f>
        <v>30811.7602467747</v>
      </c>
      <c r="M15" s="120">
        <f>'建设期付息政府付费用估算表 '!M11</f>
        <v>30891.0678611325</v>
      </c>
      <c r="N15" s="120">
        <f>'建设期付息政府付费用估算表 '!N11</f>
        <v>30857.6559278396</v>
      </c>
      <c r="O15" s="120">
        <f>'建设期付息政府付费用估算表 '!O11</f>
        <v>30881.9623145467</v>
      </c>
      <c r="P15" s="120">
        <f>'建设期付息政府付费用估算表 '!P11</f>
        <v>30913.9800199895</v>
      </c>
      <c r="Q15" s="120">
        <f>'建设期付息政府付费用估算表 '!Q11</f>
        <v>30913.9800199895</v>
      </c>
      <c r="R15" s="120">
        <f>'建设期付息政府付费用估算表 '!R11</f>
        <v>30856.2616999895</v>
      </c>
      <c r="S15" s="120">
        <f>'建设期付息政府付费用估算表 '!S11</f>
        <v>30901.3678849703</v>
      </c>
    </row>
    <row r="16" ht="15.75" customHeight="1" spans="1:19">
      <c r="A16" s="124"/>
      <c r="B16" s="125"/>
      <c r="C16" s="123" t="s">
        <v>15</v>
      </c>
      <c r="D16" s="120">
        <f t="shared" si="2"/>
        <v>912416.962431035</v>
      </c>
      <c r="E16" s="120">
        <f>'建设期付息政府付费用估算表 '!E12</f>
        <v>3511.4323762504</v>
      </c>
      <c r="F16" s="120">
        <f>'建设期付息政府付费用估算表 '!F12</f>
        <v>10041.6447587512</v>
      </c>
      <c r="G16" s="120">
        <f>'建设期付息政府付费用估算表 '!G12</f>
        <v>16079.204771252</v>
      </c>
      <c r="H16" s="120">
        <f>'建设期付息政府付费用估算表 '!H12</f>
        <v>20638.8076737528</v>
      </c>
      <c r="I16" s="120">
        <f>'建设期付息政府付费用估算表 '!I12</f>
        <v>23720.4534662536</v>
      </c>
      <c r="J16" s="120">
        <f>'建设期付息政府付费用估算表 '!J12</f>
        <v>82740.1883149609</v>
      </c>
      <c r="K16" s="120">
        <f>'建设期付息政府付费用估算表 '!K12</f>
        <v>83098.6466924609</v>
      </c>
      <c r="L16" s="120">
        <f>'建设期付息政府付费用估算表 '!L12</f>
        <v>83717.4528890609</v>
      </c>
      <c r="M16" s="120">
        <f>'建设期付息政府付费用估算表 '!M12</f>
        <v>84003.7261559889</v>
      </c>
      <c r="N16" s="120">
        <f>'建设期付息政府付费用估算表 '!N12</f>
        <v>83957.0605920829</v>
      </c>
      <c r="O16" s="120">
        <f>'建设期付息政府付费用估算表 '!O12</f>
        <v>84073.6802281769</v>
      </c>
      <c r="P16" s="120">
        <f>'建设期付息政府付费用估算表 '!P12</f>
        <v>84253.2852120759</v>
      </c>
      <c r="Q16" s="120">
        <f>'建设期付息政府付费用估算表 '!Q12</f>
        <v>84253.2852120759</v>
      </c>
      <c r="R16" s="120">
        <f>'建设期付息政府付费用估算表 '!R12</f>
        <v>84090.0000120759</v>
      </c>
      <c r="S16" s="120">
        <f>'建设期付息政府付费用估算表 '!S12</f>
        <v>84238.0940758159</v>
      </c>
    </row>
    <row r="17" ht="15.75" customHeight="1" spans="1:19">
      <c r="A17" s="117">
        <v>1.3</v>
      </c>
      <c r="B17" s="118" t="s">
        <v>373</v>
      </c>
      <c r="C17" s="119" t="s">
        <v>4</v>
      </c>
      <c r="D17" s="120">
        <f>使用者付费!E4</f>
        <v>28308.916</v>
      </c>
      <c r="E17" s="120">
        <f>使用者付费!F4</f>
        <v>0</v>
      </c>
      <c r="F17" s="120">
        <f>使用者付费!G4</f>
        <v>0</v>
      </c>
      <c r="G17" s="120">
        <f>使用者付费!H4</f>
        <v>0</v>
      </c>
      <c r="H17" s="120">
        <f>使用者付费!I4</f>
        <v>0</v>
      </c>
      <c r="I17" s="120">
        <f>使用者付费!J4</f>
        <v>0</v>
      </c>
      <c r="J17" s="120">
        <f>使用者付费!K4</f>
        <v>1679.89496</v>
      </c>
      <c r="K17" s="120">
        <f>使用者付费!L4</f>
        <v>1866.29496</v>
      </c>
      <c r="L17" s="120">
        <f>使用者付费!M4</f>
        <v>2301.99328</v>
      </c>
      <c r="M17" s="120">
        <f>使用者付费!N4</f>
        <v>2488.39328</v>
      </c>
      <c r="N17" s="120">
        <f>使用者付费!O4</f>
        <v>2924.0916</v>
      </c>
      <c r="O17" s="120">
        <f>使用者付费!P4</f>
        <v>3110.4916</v>
      </c>
      <c r="P17" s="120">
        <f>使用者付费!Q4</f>
        <v>3359.78992</v>
      </c>
      <c r="Q17" s="120">
        <f>使用者付费!R4</f>
        <v>3359.78992</v>
      </c>
      <c r="R17" s="120">
        <f>使用者付费!S4</f>
        <v>3609.08824</v>
      </c>
      <c r="S17" s="120">
        <f>使用者付费!T4</f>
        <v>3609.08824</v>
      </c>
    </row>
    <row r="18" ht="15.75" customHeight="1" spans="1:19">
      <c r="A18" s="121"/>
      <c r="B18" s="122"/>
      <c r="C18" s="123" t="s">
        <v>13</v>
      </c>
      <c r="D18" s="120">
        <f>使用者付费!E5</f>
        <v>4780.74</v>
      </c>
      <c r="E18" s="120">
        <f>使用者付费!F5</f>
        <v>0</v>
      </c>
      <c r="F18" s="120">
        <f>使用者付费!G5</f>
        <v>0</v>
      </c>
      <c r="G18" s="120">
        <f>使用者付费!H5</f>
        <v>0</v>
      </c>
      <c r="H18" s="120">
        <f>使用者付费!I5</f>
        <v>0</v>
      </c>
      <c r="I18" s="120">
        <f>使用者付费!J5</f>
        <v>0</v>
      </c>
      <c r="J18" s="120">
        <f>使用者付费!K5</f>
        <v>282.8844</v>
      </c>
      <c r="K18" s="120">
        <f>使用者付费!L5</f>
        <v>322.4844</v>
      </c>
      <c r="L18" s="120">
        <f>使用者付费!M5</f>
        <v>390.3792</v>
      </c>
      <c r="M18" s="120">
        <f>使用者付费!N5</f>
        <v>429.9792</v>
      </c>
      <c r="N18" s="120">
        <f>使用者付费!O5</f>
        <v>497.874</v>
      </c>
      <c r="O18" s="120">
        <f>使用者付费!P5</f>
        <v>537.474</v>
      </c>
      <c r="P18" s="120">
        <f>使用者付费!Q5</f>
        <v>565.7688</v>
      </c>
      <c r="Q18" s="120">
        <f>使用者付费!R5</f>
        <v>565.7688</v>
      </c>
      <c r="R18" s="120">
        <f>使用者付费!S5</f>
        <v>594.0636</v>
      </c>
      <c r="S18" s="120">
        <f>使用者付费!T5</f>
        <v>594.0636</v>
      </c>
    </row>
    <row r="19" ht="15.75" customHeight="1" spans="1:19">
      <c r="A19" s="121"/>
      <c r="B19" s="122"/>
      <c r="C19" s="123" t="s">
        <v>14</v>
      </c>
      <c r="D19" s="120">
        <f>使用者付费!E6</f>
        <v>5571.916</v>
      </c>
      <c r="E19" s="120">
        <f>使用者付费!F6</f>
        <v>0</v>
      </c>
      <c r="F19" s="120">
        <f>使用者付费!G6</f>
        <v>0</v>
      </c>
      <c r="G19" s="120">
        <f>使用者付费!H6</f>
        <v>0</v>
      </c>
      <c r="H19" s="120">
        <f>使用者付费!I6</f>
        <v>0</v>
      </c>
      <c r="I19" s="120">
        <f>使用者付费!J6</f>
        <v>0</v>
      </c>
      <c r="J19" s="120">
        <f>使用者付费!K6</f>
        <v>331.15496</v>
      </c>
      <c r="K19" s="120">
        <f>使用者付费!L6</f>
        <v>362.75496</v>
      </c>
      <c r="L19" s="120">
        <f>使用者付费!M6</f>
        <v>452.07328</v>
      </c>
      <c r="M19" s="120">
        <f>使用者付费!N6</f>
        <v>483.67328</v>
      </c>
      <c r="N19" s="120">
        <f>使用者付费!O6</f>
        <v>572.9916</v>
      </c>
      <c r="O19" s="120">
        <f>使用者付费!P6</f>
        <v>604.5916</v>
      </c>
      <c r="P19" s="120">
        <f>使用者付费!Q6</f>
        <v>662.30992</v>
      </c>
      <c r="Q19" s="120">
        <f>使用者付费!R6</f>
        <v>662.30992</v>
      </c>
      <c r="R19" s="120">
        <f>使用者付费!S6</f>
        <v>720.02824</v>
      </c>
      <c r="S19" s="120">
        <f>使用者付费!T6</f>
        <v>720.02824</v>
      </c>
    </row>
    <row r="20" ht="15.75" customHeight="1" spans="1:19">
      <c r="A20" s="124"/>
      <c r="B20" s="125"/>
      <c r="C20" s="123" t="s">
        <v>15</v>
      </c>
      <c r="D20" s="120">
        <f>使用者付费!E7</f>
        <v>17956.26</v>
      </c>
      <c r="E20" s="120">
        <f>使用者付费!F7</f>
        <v>0</v>
      </c>
      <c r="F20" s="120">
        <f>使用者付费!G7</f>
        <v>0</v>
      </c>
      <c r="G20" s="120">
        <f>使用者付费!H7</f>
        <v>0</v>
      </c>
      <c r="H20" s="120">
        <f>使用者付费!I7</f>
        <v>0</v>
      </c>
      <c r="I20" s="120">
        <f>使用者付费!J7</f>
        <v>0</v>
      </c>
      <c r="J20" s="120">
        <f>使用者付费!K7</f>
        <v>1065.8556</v>
      </c>
      <c r="K20" s="120">
        <f>使用者付费!L7</f>
        <v>1181.0556</v>
      </c>
      <c r="L20" s="120">
        <f>使用者付费!M7</f>
        <v>1459.5408</v>
      </c>
      <c r="M20" s="120">
        <f>使用者付费!N7</f>
        <v>1574.7408</v>
      </c>
      <c r="N20" s="120">
        <f>使用者付费!O7</f>
        <v>1853.226</v>
      </c>
      <c r="O20" s="120">
        <f>使用者付费!P7</f>
        <v>1968.426</v>
      </c>
      <c r="P20" s="120">
        <f>使用者付费!Q7</f>
        <v>2131.7112</v>
      </c>
      <c r="Q20" s="120">
        <f>使用者付费!R7</f>
        <v>2131.7112</v>
      </c>
      <c r="R20" s="120">
        <f>使用者付费!S7</f>
        <v>2294.9964</v>
      </c>
      <c r="S20" s="120">
        <f>使用者付费!T7</f>
        <v>2294.9964</v>
      </c>
    </row>
    <row r="21" ht="15.75" customHeight="1" spans="1:19">
      <c r="A21" s="117">
        <v>1.4</v>
      </c>
      <c r="B21" s="118" t="s">
        <v>374</v>
      </c>
      <c r="C21" s="119" t="s">
        <v>4</v>
      </c>
      <c r="D21" s="120">
        <v>0</v>
      </c>
      <c r="E21" s="120"/>
      <c r="F21" s="120"/>
      <c r="G21" s="120"/>
      <c r="H21" s="120"/>
      <c r="I21" s="120"/>
      <c r="J21" s="120"/>
      <c r="K21" s="120"/>
      <c r="L21" s="120"/>
      <c r="M21" s="120"/>
      <c r="N21" s="120"/>
      <c r="O21" s="120"/>
      <c r="P21" s="120"/>
      <c r="Q21" s="120"/>
      <c r="R21" s="120"/>
      <c r="S21" s="120"/>
    </row>
    <row r="22" ht="15.75" customHeight="1" spans="1:19">
      <c r="A22" s="121"/>
      <c r="B22" s="122"/>
      <c r="C22" s="123" t="s">
        <v>13</v>
      </c>
      <c r="D22" s="120"/>
      <c r="E22" s="120"/>
      <c r="F22" s="120"/>
      <c r="G22" s="120"/>
      <c r="H22" s="120"/>
      <c r="I22" s="120"/>
      <c r="J22" s="120"/>
      <c r="K22" s="120"/>
      <c r="L22" s="120"/>
      <c r="M22" s="120"/>
      <c r="N22" s="120"/>
      <c r="O22" s="120"/>
      <c r="P22" s="120"/>
      <c r="Q22" s="120"/>
      <c r="R22" s="120"/>
      <c r="S22" s="120"/>
    </row>
    <row r="23" ht="15.75" customHeight="1" spans="1:19">
      <c r="A23" s="121"/>
      <c r="B23" s="122"/>
      <c r="C23" s="123" t="s">
        <v>14</v>
      </c>
      <c r="D23" s="120"/>
      <c r="E23" s="120"/>
      <c r="F23" s="120"/>
      <c r="G23" s="120"/>
      <c r="H23" s="120"/>
      <c r="I23" s="120"/>
      <c r="J23" s="120"/>
      <c r="K23" s="120"/>
      <c r="L23" s="120"/>
      <c r="M23" s="120"/>
      <c r="N23" s="120"/>
      <c r="O23" s="120"/>
      <c r="P23" s="120"/>
      <c r="Q23" s="120"/>
      <c r="R23" s="120"/>
      <c r="S23" s="120"/>
    </row>
    <row r="24" ht="15.75" customHeight="1" spans="1:19">
      <c r="A24" s="124"/>
      <c r="B24" s="125"/>
      <c r="C24" s="123" t="s">
        <v>15</v>
      </c>
      <c r="D24" s="120"/>
      <c r="E24" s="120"/>
      <c r="F24" s="120"/>
      <c r="G24" s="120"/>
      <c r="H24" s="120"/>
      <c r="I24" s="120"/>
      <c r="J24" s="120"/>
      <c r="K24" s="120"/>
      <c r="L24" s="120"/>
      <c r="M24" s="120"/>
      <c r="N24" s="120"/>
      <c r="O24" s="120"/>
      <c r="P24" s="120"/>
      <c r="Q24" s="120"/>
      <c r="R24" s="120"/>
      <c r="S24" s="120"/>
    </row>
    <row r="25" ht="15.75" customHeight="1" spans="1:19">
      <c r="A25" s="117">
        <v>1.5</v>
      </c>
      <c r="B25" s="118" t="s">
        <v>375</v>
      </c>
      <c r="C25" s="119" t="s">
        <v>4</v>
      </c>
      <c r="D25" s="120">
        <v>0</v>
      </c>
      <c r="E25" s="120"/>
      <c r="F25" s="120"/>
      <c r="G25" s="120"/>
      <c r="H25" s="120"/>
      <c r="I25" s="120"/>
      <c r="J25" s="120"/>
      <c r="K25" s="120"/>
      <c r="L25" s="120"/>
      <c r="M25" s="120"/>
      <c r="N25" s="120"/>
      <c r="O25" s="120"/>
      <c r="P25" s="120"/>
      <c r="Q25" s="120"/>
      <c r="R25" s="120"/>
      <c r="S25" s="120"/>
    </row>
    <row r="26" ht="15.75" customHeight="1" spans="1:19">
      <c r="A26" s="121"/>
      <c r="B26" s="122"/>
      <c r="C26" s="123" t="s">
        <v>13</v>
      </c>
      <c r="D26" s="120"/>
      <c r="E26" s="120"/>
      <c r="F26" s="120"/>
      <c r="G26" s="120"/>
      <c r="H26" s="120"/>
      <c r="I26" s="120"/>
      <c r="J26" s="120"/>
      <c r="K26" s="120"/>
      <c r="L26" s="120"/>
      <c r="M26" s="120"/>
      <c r="N26" s="120"/>
      <c r="O26" s="120"/>
      <c r="P26" s="120"/>
      <c r="Q26" s="120"/>
      <c r="R26" s="120"/>
      <c r="S26" s="120"/>
    </row>
    <row r="27" ht="15.75" customHeight="1" spans="1:19">
      <c r="A27" s="121"/>
      <c r="B27" s="122"/>
      <c r="C27" s="123" t="s">
        <v>14</v>
      </c>
      <c r="D27" s="120"/>
      <c r="E27" s="120"/>
      <c r="F27" s="120"/>
      <c r="G27" s="120"/>
      <c r="H27" s="120"/>
      <c r="I27" s="120"/>
      <c r="J27" s="120"/>
      <c r="K27" s="120"/>
      <c r="L27" s="120"/>
      <c r="M27" s="120"/>
      <c r="N27" s="120"/>
      <c r="O27" s="120"/>
      <c r="P27" s="120"/>
      <c r="Q27" s="120"/>
      <c r="R27" s="120"/>
      <c r="S27" s="120"/>
    </row>
    <row r="28" ht="15.75" customHeight="1" spans="1:19">
      <c r="A28" s="124"/>
      <c r="B28" s="125"/>
      <c r="C28" s="123" t="s">
        <v>15</v>
      </c>
      <c r="D28" s="120"/>
      <c r="E28" s="120"/>
      <c r="F28" s="120"/>
      <c r="G28" s="120"/>
      <c r="H28" s="120"/>
      <c r="I28" s="120"/>
      <c r="J28" s="120"/>
      <c r="K28" s="120"/>
      <c r="L28" s="120"/>
      <c r="M28" s="120"/>
      <c r="N28" s="120"/>
      <c r="O28" s="120"/>
      <c r="P28" s="120"/>
      <c r="Q28" s="120"/>
      <c r="R28" s="120"/>
      <c r="S28" s="120"/>
    </row>
    <row r="29" ht="15.75" customHeight="1" spans="1:19">
      <c r="A29" s="117">
        <v>2</v>
      </c>
      <c r="B29" s="118" t="s">
        <v>376</v>
      </c>
      <c r="C29" s="119" t="s">
        <v>4</v>
      </c>
      <c r="D29" s="120">
        <f>SUM(E29:S29)</f>
        <v>1255918.22580043</v>
      </c>
      <c r="E29" s="120">
        <f>SUM(E30:E32)</f>
        <v>325509.9397238</v>
      </c>
      <c r="F29" s="120">
        <f t="shared" ref="F29:S29" si="6">SUM(F30:F32)</f>
        <v>282321.0967238</v>
      </c>
      <c r="G29" s="120">
        <f t="shared" si="6"/>
        <v>282321.0967238</v>
      </c>
      <c r="H29" s="120">
        <f t="shared" si="6"/>
        <v>152754.5677238</v>
      </c>
      <c r="I29" s="120">
        <f t="shared" si="6"/>
        <v>152754.5677238</v>
      </c>
      <c r="J29" s="120">
        <f t="shared" si="6"/>
        <v>2594.524585904</v>
      </c>
      <c r="K29" s="120">
        <f t="shared" si="6"/>
        <v>3420.887664404</v>
      </c>
      <c r="L29" s="120">
        <f t="shared" si="6"/>
        <v>4950.984780212</v>
      </c>
      <c r="M29" s="120">
        <f t="shared" si="6"/>
        <v>5601.05971305784</v>
      </c>
      <c r="N29" s="120">
        <f t="shared" si="6"/>
        <v>5990.80108465896</v>
      </c>
      <c r="O29" s="120">
        <f t="shared" si="6"/>
        <v>6435.63074461208</v>
      </c>
      <c r="P29" s="120">
        <f t="shared" si="6"/>
        <v>6994.2325750618</v>
      </c>
      <c r="Q29" s="120">
        <f t="shared" si="6"/>
        <v>7083.50540603488</v>
      </c>
      <c r="R29" s="120">
        <f t="shared" si="6"/>
        <v>8027.6214359393</v>
      </c>
      <c r="S29" s="120">
        <f t="shared" si="6"/>
        <v>9157.70919154694</v>
      </c>
    </row>
    <row r="30" ht="15.75" customHeight="1" spans="1:19">
      <c r="A30" s="121"/>
      <c r="B30" s="122"/>
      <c r="C30" s="123" t="s">
        <v>13</v>
      </c>
      <c r="D30" s="120">
        <f t="shared" ref="D30:D32" si="7">SUM(E30:S30)</f>
        <v>327465.65380772</v>
      </c>
      <c r="E30" s="120">
        <f>E34+E38+E42+E46+E50</f>
        <v>77852.3711572</v>
      </c>
      <c r="F30" s="120">
        <f t="shared" ref="F30:S30" si="8">F34+F38+F42+F46+F50</f>
        <v>70302.3121572</v>
      </c>
      <c r="G30" s="120">
        <f t="shared" si="8"/>
        <v>70302.3121572</v>
      </c>
      <c r="H30" s="120">
        <f t="shared" si="8"/>
        <v>47652.1351572</v>
      </c>
      <c r="I30" s="120">
        <f t="shared" si="8"/>
        <v>47652.1351572</v>
      </c>
      <c r="J30" s="120">
        <f t="shared" si="8"/>
        <v>616.1724976</v>
      </c>
      <c r="K30" s="120">
        <f t="shared" si="8"/>
        <v>793.3237646</v>
      </c>
      <c r="L30" s="120">
        <f t="shared" si="8"/>
        <v>1206.7371388</v>
      </c>
      <c r="M30" s="120">
        <f t="shared" si="8"/>
        <v>1344.43119036</v>
      </c>
      <c r="N30" s="120">
        <f t="shared" si="8"/>
        <v>1446.44653916</v>
      </c>
      <c r="O30" s="120">
        <f t="shared" si="8"/>
        <v>1603.550176312</v>
      </c>
      <c r="P30" s="120">
        <f t="shared" si="8"/>
        <v>1729.52579742</v>
      </c>
      <c r="Q30" s="120">
        <f t="shared" si="8"/>
        <v>1384.64855680334</v>
      </c>
      <c r="R30" s="120">
        <f t="shared" si="8"/>
        <v>1657.0065734227</v>
      </c>
      <c r="S30" s="120">
        <f t="shared" si="8"/>
        <v>1922.54578724206</v>
      </c>
    </row>
    <row r="31" ht="15.75" customHeight="1" spans="1:19">
      <c r="A31" s="121"/>
      <c r="B31" s="122"/>
      <c r="C31" s="123" t="s">
        <v>14</v>
      </c>
      <c r="D31" s="120">
        <f t="shared" si="7"/>
        <v>249077.70569441</v>
      </c>
      <c r="E31" s="120">
        <f t="shared" ref="E31:S32" si="9">E35+E39+E43+E47+E51</f>
        <v>68502.8554926</v>
      </c>
      <c r="F31" s="120">
        <f t="shared" si="9"/>
        <v>57999.3964926</v>
      </c>
      <c r="G31" s="120">
        <f t="shared" si="9"/>
        <v>57999.3964926</v>
      </c>
      <c r="H31" s="120">
        <f t="shared" si="9"/>
        <v>26489.0194926</v>
      </c>
      <c r="I31" s="120">
        <f t="shared" si="9"/>
        <v>26489.0194926</v>
      </c>
      <c r="J31" s="120">
        <f t="shared" si="9"/>
        <v>521.741348504</v>
      </c>
      <c r="K31" s="120">
        <f t="shared" si="9"/>
        <v>697.294782504</v>
      </c>
      <c r="L31" s="120">
        <f t="shared" si="9"/>
        <v>916.687127512</v>
      </c>
      <c r="M31" s="120">
        <f t="shared" si="9"/>
        <v>1027.59474186984</v>
      </c>
      <c r="N31" s="120">
        <f t="shared" si="9"/>
        <v>1083.50112857696</v>
      </c>
      <c r="O31" s="120">
        <f t="shared" si="9"/>
        <v>1139.40751528408</v>
      </c>
      <c r="P31" s="120">
        <f t="shared" si="9"/>
        <v>1229.1435407268</v>
      </c>
      <c r="Q31" s="120">
        <f t="shared" si="9"/>
        <v>1463.57247098617</v>
      </c>
      <c r="R31" s="120">
        <f t="shared" si="9"/>
        <v>1645.87382394253</v>
      </c>
      <c r="S31" s="120">
        <f t="shared" si="9"/>
        <v>1873.20175150347</v>
      </c>
    </row>
    <row r="32" ht="15.75" customHeight="1" spans="1:19">
      <c r="A32" s="124"/>
      <c r="B32" s="125"/>
      <c r="C32" s="123" t="s">
        <v>15</v>
      </c>
      <c r="D32" s="120">
        <f t="shared" si="7"/>
        <v>679374.866298302</v>
      </c>
      <c r="E32" s="120">
        <f t="shared" si="9"/>
        <v>179154.713074</v>
      </c>
      <c r="F32" s="120">
        <f t="shared" si="9"/>
        <v>154019.388074</v>
      </c>
      <c r="G32" s="120">
        <f t="shared" si="9"/>
        <v>154019.388074</v>
      </c>
      <c r="H32" s="120">
        <f t="shared" si="9"/>
        <v>78613.413074</v>
      </c>
      <c r="I32" s="120">
        <f t="shared" si="9"/>
        <v>78613.413074</v>
      </c>
      <c r="J32" s="120">
        <f t="shared" si="9"/>
        <v>1456.6107398</v>
      </c>
      <c r="K32" s="120">
        <f t="shared" si="9"/>
        <v>1930.2691173</v>
      </c>
      <c r="L32" s="120">
        <f t="shared" si="9"/>
        <v>2827.5605139</v>
      </c>
      <c r="M32" s="120">
        <f t="shared" si="9"/>
        <v>3229.033780828</v>
      </c>
      <c r="N32" s="120">
        <f t="shared" si="9"/>
        <v>3460.853416922</v>
      </c>
      <c r="O32" s="120">
        <f t="shared" si="9"/>
        <v>3692.673053016</v>
      </c>
      <c r="P32" s="120">
        <f t="shared" si="9"/>
        <v>4035.563236915</v>
      </c>
      <c r="Q32" s="120">
        <f t="shared" si="9"/>
        <v>4235.28437824537</v>
      </c>
      <c r="R32" s="120">
        <f t="shared" si="9"/>
        <v>4724.74103857407</v>
      </c>
      <c r="S32" s="120">
        <f t="shared" si="9"/>
        <v>5361.96165280141</v>
      </c>
    </row>
    <row r="33" ht="15.75" customHeight="1" spans="1:19">
      <c r="A33" s="117">
        <v>2.1</v>
      </c>
      <c r="B33" s="118" t="s">
        <v>377</v>
      </c>
      <c r="C33" s="119" t="s">
        <v>4</v>
      </c>
      <c r="D33" s="120">
        <f>SUM(E33:I33)</f>
        <v>1195661.268619</v>
      </c>
      <c r="E33" s="120">
        <f>SUM(E34:E36)</f>
        <v>325509.9397238</v>
      </c>
      <c r="F33" s="120">
        <f>项目投资与资金筹措计划表!F8</f>
        <v>282321.0967238</v>
      </c>
      <c r="G33" s="120">
        <f>项目投资与资金筹措计划表!G8</f>
        <v>282321.0967238</v>
      </c>
      <c r="H33" s="120">
        <f>项目投资与资金筹措计划表!H8</f>
        <v>152754.5677238</v>
      </c>
      <c r="I33" s="120">
        <f>项目投资与资金筹措计划表!I8</f>
        <v>152754.5677238</v>
      </c>
      <c r="J33" s="120">
        <f>项目投资与资金筹措计划表!J8</f>
        <v>0</v>
      </c>
      <c r="K33" s="120">
        <f>项目投资与资金筹措计划表!K8</f>
        <v>0</v>
      </c>
      <c r="L33" s="120">
        <f>项目投资与资金筹措计划表!L8</f>
        <v>0</v>
      </c>
      <c r="M33" s="120">
        <f>项目投资与资金筹措计划表!M8</f>
        <v>0</v>
      </c>
      <c r="N33" s="120">
        <f>项目投资与资金筹措计划表!N8</f>
        <v>0</v>
      </c>
      <c r="O33" s="120">
        <f>项目投资与资金筹措计划表!O8</f>
        <v>0</v>
      </c>
      <c r="P33" s="120">
        <f>项目投资与资金筹措计划表!P8</f>
        <v>0</v>
      </c>
      <c r="Q33" s="120">
        <f>项目投资与资金筹措计划表!Q8</f>
        <v>0</v>
      </c>
      <c r="R33" s="120">
        <f>项目投资与资金筹措计划表!R8</f>
        <v>0</v>
      </c>
      <c r="S33" s="120">
        <f>项目投资与资金筹措计划表!S8</f>
        <v>0</v>
      </c>
    </row>
    <row r="34" ht="15.75" customHeight="1" spans="1:19">
      <c r="A34" s="121"/>
      <c r="B34" s="122"/>
      <c r="C34" s="123" t="s">
        <v>13</v>
      </c>
      <c r="D34" s="120">
        <f t="shared" ref="D34:D36" si="10">SUM(E34:I34)</f>
        <v>313761.265786</v>
      </c>
      <c r="E34" s="120">
        <f>项目投资与资金筹措计划表!E9</f>
        <v>77852.3711572</v>
      </c>
      <c r="F34" s="120">
        <f>项目投资与资金筹措计划表!F9</f>
        <v>70302.3121572</v>
      </c>
      <c r="G34" s="120">
        <f>项目投资与资金筹措计划表!G9</f>
        <v>70302.3121572</v>
      </c>
      <c r="H34" s="120">
        <f>项目投资与资金筹措计划表!H9</f>
        <v>47652.1351572</v>
      </c>
      <c r="I34" s="120">
        <f>项目投资与资金筹措计划表!I9</f>
        <v>47652.1351572</v>
      </c>
      <c r="J34" s="120">
        <f>项目投资与资金筹措计划表!J9</f>
        <v>0</v>
      </c>
      <c r="K34" s="120">
        <f>项目投资与资金筹措计划表!K9</f>
        <v>0</v>
      </c>
      <c r="L34" s="120">
        <f>项目投资与资金筹措计划表!L9</f>
        <v>0</v>
      </c>
      <c r="M34" s="120">
        <f>项目投资与资金筹措计划表!M9</f>
        <v>0</v>
      </c>
      <c r="N34" s="120">
        <f>项目投资与资金筹措计划表!N9</f>
        <v>0</v>
      </c>
      <c r="O34" s="120">
        <f>项目投资与资金筹措计划表!O9</f>
        <v>0</v>
      </c>
      <c r="P34" s="120">
        <f>项目投资与资金筹措计划表!P9</f>
        <v>0</v>
      </c>
      <c r="Q34" s="120">
        <f>项目投资与资金筹措计划表!Q9</f>
        <v>0</v>
      </c>
      <c r="R34" s="120">
        <f>项目投资与资金筹措计划表!R9</f>
        <v>0</v>
      </c>
      <c r="S34" s="120">
        <f>项目投资与资金筹措计划表!S9</f>
        <v>0</v>
      </c>
    </row>
    <row r="35" ht="15.75" customHeight="1" spans="1:19">
      <c r="A35" s="121"/>
      <c r="B35" s="122"/>
      <c r="C35" s="123" t="s">
        <v>14</v>
      </c>
      <c r="D35" s="120">
        <f t="shared" si="10"/>
        <v>237479.687463</v>
      </c>
      <c r="E35" s="120">
        <f>项目投资与资金筹措计划表!E10</f>
        <v>68502.8554926</v>
      </c>
      <c r="F35" s="120">
        <f>项目投资与资金筹措计划表!F10</f>
        <v>57999.3964926</v>
      </c>
      <c r="G35" s="120">
        <f>项目投资与资金筹措计划表!G10</f>
        <v>57999.3964926</v>
      </c>
      <c r="H35" s="120">
        <f>项目投资与资金筹措计划表!H10</f>
        <v>26489.0194926</v>
      </c>
      <c r="I35" s="120">
        <f>项目投资与资金筹措计划表!I10</f>
        <v>26489.0194926</v>
      </c>
      <c r="J35" s="120">
        <f>项目投资与资金筹措计划表!J10</f>
        <v>0</v>
      </c>
      <c r="K35" s="120">
        <f>项目投资与资金筹措计划表!K10</f>
        <v>0</v>
      </c>
      <c r="L35" s="120">
        <f>项目投资与资金筹措计划表!L10</f>
        <v>0</v>
      </c>
      <c r="M35" s="120">
        <f>项目投资与资金筹措计划表!M10</f>
        <v>0</v>
      </c>
      <c r="N35" s="120">
        <f>项目投资与资金筹措计划表!N10</f>
        <v>0</v>
      </c>
      <c r="O35" s="120">
        <f>项目投资与资金筹措计划表!O10</f>
        <v>0</v>
      </c>
      <c r="P35" s="120">
        <f>项目投资与资金筹措计划表!P10</f>
        <v>0</v>
      </c>
      <c r="Q35" s="120">
        <f>项目投资与资金筹措计划表!Q10</f>
        <v>0</v>
      </c>
      <c r="R35" s="120">
        <f>项目投资与资金筹措计划表!R10</f>
        <v>0</v>
      </c>
      <c r="S35" s="120">
        <f>项目投资与资金筹措计划表!S10</f>
        <v>0</v>
      </c>
    </row>
    <row r="36" ht="15.75" customHeight="1" spans="1:19">
      <c r="A36" s="124"/>
      <c r="B36" s="125"/>
      <c r="C36" s="123" t="s">
        <v>15</v>
      </c>
      <c r="D36" s="120">
        <f t="shared" si="10"/>
        <v>644420.31537</v>
      </c>
      <c r="E36" s="120">
        <f>项目投资与资金筹措计划表!E11</f>
        <v>179154.713074</v>
      </c>
      <c r="F36" s="120">
        <f>项目投资与资金筹措计划表!F11</f>
        <v>154019.388074</v>
      </c>
      <c r="G36" s="120">
        <f>项目投资与资金筹措计划表!G11</f>
        <v>154019.388074</v>
      </c>
      <c r="H36" s="120">
        <f>项目投资与资金筹措计划表!H11</f>
        <v>78613.413074</v>
      </c>
      <c r="I36" s="120">
        <f>项目投资与资金筹措计划表!I11</f>
        <v>78613.413074</v>
      </c>
      <c r="J36" s="120">
        <f>项目投资与资金筹措计划表!J11</f>
        <v>0</v>
      </c>
      <c r="K36" s="120">
        <f>项目投资与资金筹措计划表!K11</f>
        <v>0</v>
      </c>
      <c r="L36" s="120">
        <f>项目投资与资金筹措计划表!L11</f>
        <v>0</v>
      </c>
      <c r="M36" s="120">
        <f>项目投资与资金筹措计划表!M11</f>
        <v>0</v>
      </c>
      <c r="N36" s="120">
        <f>项目投资与资金筹措计划表!N11</f>
        <v>0</v>
      </c>
      <c r="O36" s="120">
        <f>项目投资与资金筹措计划表!O11</f>
        <v>0</v>
      </c>
      <c r="P36" s="120">
        <f>项目投资与资金筹措计划表!P11</f>
        <v>0</v>
      </c>
      <c r="Q36" s="120">
        <f>项目投资与资金筹措计划表!Q11</f>
        <v>0</v>
      </c>
      <c r="R36" s="120">
        <f>项目投资与资金筹措计划表!R11</f>
        <v>0</v>
      </c>
      <c r="S36" s="120">
        <f>项目投资与资金筹措计划表!S11</f>
        <v>0</v>
      </c>
    </row>
    <row r="37" ht="15.75" customHeight="1" spans="1:19">
      <c r="A37" s="117">
        <v>2.2</v>
      </c>
      <c r="B37" s="118" t="s">
        <v>378</v>
      </c>
      <c r="C37" s="119" t="s">
        <v>4</v>
      </c>
      <c r="D37" s="120"/>
      <c r="E37" s="120">
        <f>SUM(E38:E40)</f>
        <v>0</v>
      </c>
      <c r="F37" s="120"/>
      <c r="G37" s="120"/>
      <c r="H37" s="120"/>
      <c r="I37" s="120"/>
      <c r="J37" s="120"/>
      <c r="K37" s="120"/>
      <c r="L37" s="120"/>
      <c r="M37" s="120"/>
      <c r="N37" s="120"/>
      <c r="O37" s="120"/>
      <c r="P37" s="120"/>
      <c r="Q37" s="120"/>
      <c r="R37" s="120"/>
      <c r="S37" s="120"/>
    </row>
    <row r="38" ht="15.75" customHeight="1" spans="1:19">
      <c r="A38" s="121"/>
      <c r="B38" s="122"/>
      <c r="C38" s="123" t="s">
        <v>13</v>
      </c>
      <c r="D38" s="120"/>
      <c r="E38" s="120"/>
      <c r="F38" s="120"/>
      <c r="G38" s="120"/>
      <c r="H38" s="120"/>
      <c r="I38" s="120"/>
      <c r="J38" s="120"/>
      <c r="K38" s="120"/>
      <c r="L38" s="120"/>
      <c r="M38" s="120"/>
      <c r="N38" s="120"/>
      <c r="O38" s="120"/>
      <c r="P38" s="120"/>
      <c r="Q38" s="120"/>
      <c r="R38" s="120"/>
      <c r="S38" s="120"/>
    </row>
    <row r="39" ht="15.75" customHeight="1" spans="1:19">
      <c r="A39" s="121"/>
      <c r="B39" s="122"/>
      <c r="C39" s="123" t="s">
        <v>14</v>
      </c>
      <c r="D39" s="120"/>
      <c r="E39" s="120"/>
      <c r="F39" s="120"/>
      <c r="G39" s="120"/>
      <c r="H39" s="120"/>
      <c r="I39" s="120"/>
      <c r="J39" s="120"/>
      <c r="K39" s="120"/>
      <c r="L39" s="120"/>
      <c r="M39" s="120"/>
      <c r="N39" s="120"/>
      <c r="O39" s="120"/>
      <c r="P39" s="120"/>
      <c r="Q39" s="120"/>
      <c r="R39" s="120"/>
      <c r="S39" s="120"/>
    </row>
    <row r="40" ht="15.75" customHeight="1" spans="1:19">
      <c r="A40" s="124"/>
      <c r="B40" s="125"/>
      <c r="C40" s="123" t="s">
        <v>15</v>
      </c>
      <c r="D40" s="120"/>
      <c r="E40" s="120"/>
      <c r="F40" s="120"/>
      <c r="G40" s="120"/>
      <c r="H40" s="120"/>
      <c r="I40" s="120"/>
      <c r="J40" s="120"/>
      <c r="K40" s="120"/>
      <c r="L40" s="120"/>
      <c r="M40" s="120"/>
      <c r="N40" s="120"/>
      <c r="O40" s="120"/>
      <c r="P40" s="120"/>
      <c r="Q40" s="120"/>
      <c r="R40" s="120"/>
      <c r="S40" s="120"/>
    </row>
    <row r="41" ht="15.75" customHeight="1" spans="1:19">
      <c r="A41" s="117">
        <v>2.3</v>
      </c>
      <c r="B41" s="118" t="s">
        <v>379</v>
      </c>
      <c r="C41" s="119" t="s">
        <v>4</v>
      </c>
      <c r="D41" s="120">
        <f t="shared" ref="D41:D48" si="11">SUM(E41:S41)</f>
        <v>57249.0141329369</v>
      </c>
      <c r="E41" s="120">
        <f>SUM(E42:E44)</f>
        <v>0</v>
      </c>
      <c r="F41" s="120">
        <f t="shared" ref="F41:S41" si="12">SUM(F42:F44)</f>
        <v>0</v>
      </c>
      <c r="G41" s="120">
        <f t="shared" si="12"/>
        <v>0</v>
      </c>
      <c r="H41" s="120">
        <f t="shared" si="12"/>
        <v>0</v>
      </c>
      <c r="I41" s="120">
        <f t="shared" si="12"/>
        <v>0</v>
      </c>
      <c r="J41" s="120">
        <f t="shared" si="12"/>
        <v>2594.524585904</v>
      </c>
      <c r="K41" s="120">
        <f t="shared" si="12"/>
        <v>3420.887664404</v>
      </c>
      <c r="L41" s="120">
        <f t="shared" si="12"/>
        <v>4950.984780212</v>
      </c>
      <c r="M41" s="120">
        <f t="shared" si="12"/>
        <v>5601.05971305784</v>
      </c>
      <c r="N41" s="120">
        <f t="shared" si="12"/>
        <v>5990.80108465896</v>
      </c>
      <c r="O41" s="120">
        <f t="shared" si="12"/>
        <v>6435.63074461208</v>
      </c>
      <c r="P41" s="120">
        <f t="shared" si="12"/>
        <v>6994.2325750618</v>
      </c>
      <c r="Q41" s="120">
        <f t="shared" si="12"/>
        <v>6994.2325750618</v>
      </c>
      <c r="R41" s="120">
        <f t="shared" si="12"/>
        <v>7024.8371797018</v>
      </c>
      <c r="S41" s="120">
        <f t="shared" si="12"/>
        <v>7241.8232302626</v>
      </c>
    </row>
    <row r="42" ht="15.75" customHeight="1" spans="1:19">
      <c r="A42" s="121"/>
      <c r="B42" s="122"/>
      <c r="C42" s="123" t="s">
        <v>13</v>
      </c>
      <c r="D42" s="120">
        <f t="shared" si="11"/>
        <v>14013.759507632</v>
      </c>
      <c r="E42" s="120"/>
      <c r="F42" s="120"/>
      <c r="G42" s="120"/>
      <c r="H42" s="120">
        <f>'建设期付息政府付费用估算表 '!H30</f>
        <v>0</v>
      </c>
      <c r="I42" s="120">
        <f>'建设期付息政府付费用估算表 '!I30</f>
        <v>0</v>
      </c>
      <c r="J42" s="120">
        <f>'建设期付息政府付费用估算表 '!J30</f>
        <v>616.1724976</v>
      </c>
      <c r="K42" s="120">
        <f>'建设期付息政府付费用估算表 '!K30</f>
        <v>793.3237646</v>
      </c>
      <c r="L42" s="120">
        <f>'建设期付息政府付费用估算表 '!L30</f>
        <v>1206.7371388</v>
      </c>
      <c r="M42" s="120">
        <f>'建设期付息政府付费用估算表 '!M30</f>
        <v>1344.43119036</v>
      </c>
      <c r="N42" s="120">
        <f>'建设期付息政府付费用估算表 '!N30</f>
        <v>1446.44653916</v>
      </c>
      <c r="O42" s="120">
        <f>'建设期付息政府付费用估算表 '!O30</f>
        <v>1603.550176312</v>
      </c>
      <c r="P42" s="120">
        <f>'建设期付息政府付费用估算表 '!P30</f>
        <v>1729.52579742</v>
      </c>
      <c r="Q42" s="120">
        <f>'建设期付息政府付费用估算表 '!Q30</f>
        <v>1729.52579742</v>
      </c>
      <c r="R42" s="120">
        <f>'建设期付息政府付费用估算表 '!R30</f>
        <v>1760.13040206</v>
      </c>
      <c r="S42" s="120">
        <f>'建设期付息政府付费用估算表 '!S30</f>
        <v>1783.9162039</v>
      </c>
    </row>
    <row r="43" ht="15.75" customHeight="1" spans="1:19">
      <c r="A43" s="121"/>
      <c r="B43" s="122"/>
      <c r="C43" s="123" t="s">
        <v>14</v>
      </c>
      <c r="D43" s="120">
        <f t="shared" si="11"/>
        <v>10347.9069921389</v>
      </c>
      <c r="E43" s="120"/>
      <c r="F43" s="120"/>
      <c r="G43" s="120"/>
      <c r="H43" s="120">
        <f>'建设期付息政府付费用估算表 '!H31</f>
        <v>0</v>
      </c>
      <c r="I43" s="120">
        <f>'建设期付息政府付费用估算表 '!I31</f>
        <v>0</v>
      </c>
      <c r="J43" s="120">
        <f>'建设期付息政府付费用估算表 '!J31</f>
        <v>521.741348504</v>
      </c>
      <c r="K43" s="120">
        <f>'建设期付息政府付费用估算表 '!K31</f>
        <v>697.294782504</v>
      </c>
      <c r="L43" s="120">
        <f>'建设期付息政府付费用估算表 '!L31</f>
        <v>916.687127512</v>
      </c>
      <c r="M43" s="120">
        <f>'建设期付息政府付费用估算表 '!M31</f>
        <v>1027.59474186984</v>
      </c>
      <c r="N43" s="120">
        <f>'建设期付息政府付费用估算表 '!N31</f>
        <v>1083.50112857696</v>
      </c>
      <c r="O43" s="120">
        <f>'建设期付息政府付费用估算表 '!O31</f>
        <v>1139.40751528408</v>
      </c>
      <c r="P43" s="120">
        <f>'建设期付息政府付费用估算表 '!P31</f>
        <v>1229.1435407268</v>
      </c>
      <c r="Q43" s="120">
        <f>'建设期付息政府付费用估算表 '!Q31</f>
        <v>1229.1435407268</v>
      </c>
      <c r="R43" s="120">
        <f>'建设期付息政府付费用估算表 '!R31</f>
        <v>1229.1435407268</v>
      </c>
      <c r="S43" s="120">
        <f>'建设期付息政府付费用估算表 '!S31</f>
        <v>1274.2497257076</v>
      </c>
    </row>
    <row r="44" ht="15.75" customHeight="1" spans="1:19">
      <c r="A44" s="124"/>
      <c r="B44" s="125"/>
      <c r="C44" s="123" t="s">
        <v>15</v>
      </c>
      <c r="D44" s="120">
        <f t="shared" si="11"/>
        <v>32887.347633166</v>
      </c>
      <c r="E44" s="120"/>
      <c r="F44" s="120"/>
      <c r="G44" s="120"/>
      <c r="H44" s="120">
        <f>'建设期付息政府付费用估算表 '!H32</f>
        <v>0</v>
      </c>
      <c r="I44" s="120">
        <f>'建设期付息政府付费用估算表 '!I32</f>
        <v>0</v>
      </c>
      <c r="J44" s="120">
        <f>'建设期付息政府付费用估算表 '!J32</f>
        <v>1456.6107398</v>
      </c>
      <c r="K44" s="120">
        <f>'建设期付息政府付费用估算表 '!K32</f>
        <v>1930.2691173</v>
      </c>
      <c r="L44" s="120">
        <f>'建设期付息政府付费用估算表 '!L32</f>
        <v>2827.5605139</v>
      </c>
      <c r="M44" s="120">
        <f>'建设期付息政府付费用估算表 '!M32</f>
        <v>3229.033780828</v>
      </c>
      <c r="N44" s="120">
        <f>'建设期付息政府付费用估算表 '!N32</f>
        <v>3460.853416922</v>
      </c>
      <c r="O44" s="120">
        <f>'建设期付息政府付费用估算表 '!O32</f>
        <v>3692.673053016</v>
      </c>
      <c r="P44" s="120">
        <f>'建设期付息政府付费用估算表 '!P32</f>
        <v>4035.563236915</v>
      </c>
      <c r="Q44" s="120">
        <f>'建设期付息政府付费用估算表 '!Q32</f>
        <v>4035.563236915</v>
      </c>
      <c r="R44" s="120">
        <f>'建设期付息政府付费用估算表 '!R32</f>
        <v>4035.563236915</v>
      </c>
      <c r="S44" s="120">
        <f>'建设期付息政府付费用估算表 '!S32</f>
        <v>4183.657300655</v>
      </c>
    </row>
    <row r="45" ht="15.75" customHeight="1" spans="1:19">
      <c r="A45" s="117">
        <v>2.4</v>
      </c>
      <c r="B45" s="118" t="s">
        <v>380</v>
      </c>
      <c r="C45" s="119" t="s">
        <v>4</v>
      </c>
      <c r="D45" s="120">
        <f t="shared" si="11"/>
        <v>2059.82243372109</v>
      </c>
      <c r="E45" s="120">
        <f>项目公司利润与利润分配表!E37</f>
        <v>0</v>
      </c>
      <c r="F45" s="120">
        <f>项目公司利润与利润分配表!F37</f>
        <v>0</v>
      </c>
      <c r="G45" s="120">
        <f>项目公司利润与利润分配表!G37</f>
        <v>0</v>
      </c>
      <c r="H45" s="120">
        <f>项目公司利润与利润分配表!H37</f>
        <v>0</v>
      </c>
      <c r="I45" s="120">
        <f>项目公司利润与利润分配表!I37</f>
        <v>0</v>
      </c>
      <c r="J45" s="120">
        <f>项目公司利润与利润分配表!J37</f>
        <v>0</v>
      </c>
      <c r="K45" s="120">
        <f>项目公司利润与利润分配表!K37</f>
        <v>0</v>
      </c>
      <c r="L45" s="120">
        <f>项目公司利润与利润分配表!L37</f>
        <v>0</v>
      </c>
      <c r="M45" s="120">
        <f>项目公司利润与利润分配表!M37</f>
        <v>0</v>
      </c>
      <c r="N45" s="120">
        <f>项目公司利润与利润分配表!N37</f>
        <v>0</v>
      </c>
      <c r="O45" s="120">
        <f>项目公司利润与利润分配表!O37</f>
        <v>0</v>
      </c>
      <c r="P45" s="120">
        <f>项目公司利润与利润分配表!P37</f>
        <v>0</v>
      </c>
      <c r="Q45" s="120">
        <f>项目公司利润与利润分配表!Q37</f>
        <v>67.1535642906318</v>
      </c>
      <c r="R45" s="120">
        <f>项目公司利润与利润分配表!R37</f>
        <v>996.557918470278</v>
      </c>
      <c r="S45" s="120">
        <f>项目公司利润与利润分配表!S37</f>
        <v>996.110950960182</v>
      </c>
    </row>
    <row r="46" ht="15.75" customHeight="1" spans="1:19">
      <c r="A46" s="121"/>
      <c r="B46" s="122"/>
      <c r="C46" s="123" t="s">
        <v>13</v>
      </c>
      <c r="D46" s="120">
        <f t="shared" si="11"/>
        <v>-309.371485911903</v>
      </c>
      <c r="E46" s="120"/>
      <c r="F46" s="120"/>
      <c r="G46" s="120"/>
      <c r="H46" s="120"/>
      <c r="I46" s="120"/>
      <c r="J46" s="120"/>
      <c r="K46" s="120"/>
      <c r="L46" s="120"/>
      <c r="M46" s="120"/>
      <c r="N46" s="120"/>
      <c r="O46" s="120"/>
      <c r="P46" s="120">
        <f>项目公司利润与利润分配表!P38</f>
        <v>0</v>
      </c>
      <c r="Q46" s="120">
        <f>项目公司利润与利润分配表!Q38</f>
        <v>-344.877240616658</v>
      </c>
      <c r="R46" s="120">
        <f>项目公司利润与利润分配表!R38</f>
        <v>-103.123828637301</v>
      </c>
      <c r="S46" s="120">
        <f>项目公司利润与利润分配表!S38</f>
        <v>138.629583342056</v>
      </c>
    </row>
    <row r="47" ht="15.75" customHeight="1" spans="1:19">
      <c r="A47" s="121"/>
      <c r="B47" s="122"/>
      <c r="C47" s="123" t="s">
        <v>14</v>
      </c>
      <c r="D47" s="120">
        <f t="shared" si="11"/>
        <v>1250.11123927097</v>
      </c>
      <c r="E47" s="120"/>
      <c r="F47" s="120"/>
      <c r="G47" s="120"/>
      <c r="H47" s="120"/>
      <c r="I47" s="120"/>
      <c r="J47" s="120"/>
      <c r="K47" s="120"/>
      <c r="L47" s="120"/>
      <c r="M47" s="120"/>
      <c r="N47" s="120"/>
      <c r="O47" s="120"/>
      <c r="P47" s="120">
        <f>项目公司利润与利润分配表!P39</f>
        <v>0</v>
      </c>
      <c r="Q47" s="120">
        <f>项目公司利润与利润分配表!Q39</f>
        <v>234.428930259369</v>
      </c>
      <c r="R47" s="120">
        <f>项目公司利润与利润分配表!R39</f>
        <v>416.730283215733</v>
      </c>
      <c r="S47" s="120">
        <f>项目公司利润与利润分配表!S39</f>
        <v>598.952025795868</v>
      </c>
    </row>
    <row r="48" ht="15.75" customHeight="1" spans="1:19">
      <c r="A48" s="124"/>
      <c r="B48" s="125"/>
      <c r="C48" s="123" t="s">
        <v>15</v>
      </c>
      <c r="D48" s="120">
        <f t="shared" si="11"/>
        <v>2067.20329513585</v>
      </c>
      <c r="E48" s="120"/>
      <c r="F48" s="120"/>
      <c r="G48" s="120"/>
      <c r="H48" s="120"/>
      <c r="I48" s="120"/>
      <c r="J48" s="120"/>
      <c r="K48" s="120"/>
      <c r="L48" s="120"/>
      <c r="M48" s="120"/>
      <c r="N48" s="120"/>
      <c r="O48" s="120"/>
      <c r="P48" s="120">
        <f>项目公司利润与利润分配表!P40</f>
        <v>0</v>
      </c>
      <c r="Q48" s="120">
        <f>项目公司利润与利润分配表!Q40</f>
        <v>199.72114133037</v>
      </c>
      <c r="R48" s="120">
        <f>项目公司利润与利润分配表!R40</f>
        <v>689.177801659069</v>
      </c>
      <c r="S48" s="120">
        <f>项目公司利润与利润分配表!S40</f>
        <v>1178.30435214641</v>
      </c>
    </row>
    <row r="49" ht="15.75" customHeight="1" spans="1:19">
      <c r="A49" s="117">
        <v>2.5</v>
      </c>
      <c r="B49" s="118" t="s">
        <v>381</v>
      </c>
      <c r="C49" s="119" t="s">
        <v>4</v>
      </c>
      <c r="D49" s="120"/>
      <c r="E49" s="120"/>
      <c r="F49" s="120"/>
      <c r="G49" s="120"/>
      <c r="H49" s="120"/>
      <c r="I49" s="120"/>
      <c r="J49" s="120"/>
      <c r="K49" s="120"/>
      <c r="L49" s="120"/>
      <c r="M49" s="120"/>
      <c r="N49" s="120"/>
      <c r="O49" s="120"/>
      <c r="P49" s="120"/>
      <c r="Q49" s="120"/>
      <c r="R49" s="120"/>
      <c r="S49" s="120"/>
    </row>
    <row r="50" ht="15.75" customHeight="1" spans="1:19">
      <c r="A50" s="121"/>
      <c r="B50" s="122"/>
      <c r="C50" s="123" t="s">
        <v>13</v>
      </c>
      <c r="D50" s="120"/>
      <c r="E50" s="120"/>
      <c r="F50" s="120"/>
      <c r="G50" s="120"/>
      <c r="H50" s="120"/>
      <c r="I50" s="120"/>
      <c r="J50" s="120"/>
      <c r="K50" s="120"/>
      <c r="L50" s="120"/>
      <c r="M50" s="120"/>
      <c r="N50" s="120"/>
      <c r="O50" s="120"/>
      <c r="P50" s="120"/>
      <c r="Q50" s="120"/>
      <c r="R50" s="120"/>
      <c r="S50" s="120"/>
    </row>
    <row r="51" ht="15.75" customHeight="1" spans="1:19">
      <c r="A51" s="121"/>
      <c r="B51" s="122"/>
      <c r="C51" s="123" t="s">
        <v>14</v>
      </c>
      <c r="D51" s="120"/>
      <c r="E51" s="120"/>
      <c r="F51" s="120"/>
      <c r="G51" s="120"/>
      <c r="H51" s="120"/>
      <c r="I51" s="120"/>
      <c r="J51" s="120"/>
      <c r="K51" s="120"/>
      <c r="L51" s="120"/>
      <c r="M51" s="120"/>
      <c r="N51" s="120"/>
      <c r="O51" s="120"/>
      <c r="P51" s="120"/>
      <c r="Q51" s="120"/>
      <c r="R51" s="120"/>
      <c r="S51" s="120"/>
    </row>
    <row r="52" ht="15.75" customHeight="1" spans="1:19">
      <c r="A52" s="124"/>
      <c r="B52" s="125"/>
      <c r="C52" s="123" t="s">
        <v>15</v>
      </c>
      <c r="D52" s="120"/>
      <c r="E52" s="120"/>
      <c r="F52" s="120"/>
      <c r="G52" s="120"/>
      <c r="H52" s="120"/>
      <c r="I52" s="120"/>
      <c r="J52" s="120"/>
      <c r="K52" s="120"/>
      <c r="L52" s="120"/>
      <c r="M52" s="120"/>
      <c r="N52" s="120"/>
      <c r="O52" s="120"/>
      <c r="P52" s="120"/>
      <c r="Q52" s="120"/>
      <c r="R52" s="120"/>
      <c r="S52" s="120"/>
    </row>
    <row r="53" ht="15.75" customHeight="1" spans="1:19">
      <c r="A53" s="117">
        <v>3</v>
      </c>
      <c r="B53" s="118" t="s">
        <v>382</v>
      </c>
      <c r="C53" s="119" t="s">
        <v>4</v>
      </c>
      <c r="D53" s="120">
        <f>SUM(E53:S53)</f>
        <v>464006.511068891</v>
      </c>
      <c r="E53" s="120">
        <f>E5-E29</f>
        <v>-319129.944905213</v>
      </c>
      <c r="F53" s="120">
        <f t="shared" ref="F53:I53" si="13">F5-F29</f>
        <v>-264027.613590841</v>
      </c>
      <c r="G53" s="120">
        <f t="shared" si="13"/>
        <v>-252960.626599268</v>
      </c>
      <c r="H53" s="120">
        <f t="shared" si="13"/>
        <v>-114866.614576095</v>
      </c>
      <c r="I53" s="120">
        <f t="shared" si="13"/>
        <v>-109917.005085432</v>
      </c>
      <c r="J53" s="120">
        <f t="shared" ref="J53:S53" si="14">J5-J29</f>
        <v>152791.625887423</v>
      </c>
      <c r="K53" s="120">
        <f t="shared" si="14"/>
        <v>152791.625887423</v>
      </c>
      <c r="L53" s="120">
        <f t="shared" si="14"/>
        <v>152791.625887423</v>
      </c>
      <c r="M53" s="120">
        <f t="shared" si="14"/>
        <v>152791.625887423</v>
      </c>
      <c r="N53" s="120">
        <f t="shared" si="14"/>
        <v>152791.625887423</v>
      </c>
      <c r="O53" s="120">
        <f t="shared" si="14"/>
        <v>152791.625887423</v>
      </c>
      <c r="P53" s="120">
        <f t="shared" si="14"/>
        <v>152791.625887423</v>
      </c>
      <c r="Q53" s="120">
        <f t="shared" si="14"/>
        <v>152702.35305645</v>
      </c>
      <c r="R53" s="120">
        <f t="shared" si="14"/>
        <v>151788.841631186</v>
      </c>
      <c r="S53" s="120">
        <f t="shared" si="14"/>
        <v>150875.739926139</v>
      </c>
    </row>
    <row r="54" ht="15.75" customHeight="1" spans="1:19">
      <c r="A54" s="121"/>
      <c r="B54" s="122"/>
      <c r="C54" s="123" t="s">
        <v>13</v>
      </c>
      <c r="D54" s="120">
        <f t="shared" ref="D54:D57" si="15">SUM(E54:S54)</f>
        <v>121502.758317738</v>
      </c>
      <c r="E54" s="120">
        <f t="shared" ref="E54:S56" si="16">E6-E30</f>
        <v>-76326.4646825189</v>
      </c>
      <c r="F54" s="120">
        <f t="shared" si="16"/>
        <v>-65872.5738895566</v>
      </c>
      <c r="G54" s="120">
        <f t="shared" si="16"/>
        <v>-63116.7232529944</v>
      </c>
      <c r="H54" s="120">
        <f t="shared" si="16"/>
        <v>-38154.6390856322</v>
      </c>
      <c r="I54" s="120">
        <f t="shared" si="16"/>
        <v>-36286.6753874699</v>
      </c>
      <c r="J54" s="120">
        <f t="shared" si="16"/>
        <v>40095.0463129998</v>
      </c>
      <c r="K54" s="120">
        <f t="shared" si="16"/>
        <v>40095.0463129998</v>
      </c>
      <c r="L54" s="120">
        <f t="shared" si="16"/>
        <v>40095.0463129998</v>
      </c>
      <c r="M54" s="120">
        <f t="shared" si="16"/>
        <v>40095.0463129998</v>
      </c>
      <c r="N54" s="120">
        <f t="shared" si="16"/>
        <v>40095.0463129998</v>
      </c>
      <c r="O54" s="120">
        <f t="shared" si="16"/>
        <v>40095.0463129998</v>
      </c>
      <c r="P54" s="120">
        <f t="shared" si="16"/>
        <v>40095.0463129998</v>
      </c>
      <c r="Q54" s="120">
        <f t="shared" si="16"/>
        <v>40439.9235536165</v>
      </c>
      <c r="R54" s="120">
        <f t="shared" si="16"/>
        <v>40198.1701416371</v>
      </c>
      <c r="S54" s="120">
        <f t="shared" si="16"/>
        <v>39956.4167296578</v>
      </c>
    </row>
    <row r="55" ht="15.75" customHeight="1" spans="1:19">
      <c r="A55" s="121"/>
      <c r="B55" s="122"/>
      <c r="C55" s="123" t="s">
        <v>14</v>
      </c>
      <c r="D55" s="120">
        <f t="shared" si="15"/>
        <v>91505.3966184198</v>
      </c>
      <c r="E55" s="120">
        <f t="shared" si="16"/>
        <v>-67160.199524945</v>
      </c>
      <c r="F55" s="120">
        <f t="shared" si="16"/>
        <v>-54177.2963860351</v>
      </c>
      <c r="G55" s="120">
        <f t="shared" si="16"/>
        <v>-51903.7200435252</v>
      </c>
      <c r="H55" s="120">
        <f t="shared" si="16"/>
        <v>-18737.3700902153</v>
      </c>
      <c r="I55" s="120">
        <f t="shared" si="16"/>
        <v>-18737.3700902153</v>
      </c>
      <c r="J55" s="120">
        <f t="shared" si="16"/>
        <v>30347.1463992627</v>
      </c>
      <c r="K55" s="120">
        <f t="shared" si="16"/>
        <v>30347.1463992627</v>
      </c>
      <c r="L55" s="120">
        <f t="shared" si="16"/>
        <v>30347.1463992627</v>
      </c>
      <c r="M55" s="120">
        <f t="shared" si="16"/>
        <v>30347.1463992627</v>
      </c>
      <c r="N55" s="120">
        <f t="shared" si="16"/>
        <v>30347.1463992627</v>
      </c>
      <c r="O55" s="120">
        <f t="shared" si="16"/>
        <v>30347.1463992627</v>
      </c>
      <c r="P55" s="120">
        <f>P7-P31</f>
        <v>30347.1463992627</v>
      </c>
      <c r="Q55" s="120">
        <f t="shared" si="16"/>
        <v>30112.7174690033</v>
      </c>
      <c r="R55" s="120">
        <f>R7-R31</f>
        <v>29930.4161160469</v>
      </c>
      <c r="S55" s="120">
        <f t="shared" si="16"/>
        <v>29748.1943734668</v>
      </c>
    </row>
    <row r="56" ht="15.75" customHeight="1" spans="1:19">
      <c r="A56" s="124"/>
      <c r="B56" s="125"/>
      <c r="C56" s="123" t="s">
        <v>15</v>
      </c>
      <c r="D56" s="120">
        <f t="shared" si="15"/>
        <v>250998.356132733</v>
      </c>
      <c r="E56" s="120">
        <f t="shared" si="16"/>
        <v>-175643.28069775</v>
      </c>
      <c r="F56" s="120">
        <f t="shared" si="16"/>
        <v>-143977.743315249</v>
      </c>
      <c r="G56" s="120">
        <f t="shared" si="16"/>
        <v>-137940.183302748</v>
      </c>
      <c r="H56" s="120">
        <f t="shared" si="16"/>
        <v>-57974.6054002472</v>
      </c>
      <c r="I56" s="120">
        <f t="shared" si="16"/>
        <v>-54892.9596077464</v>
      </c>
      <c r="J56" s="120">
        <f t="shared" si="16"/>
        <v>82349.4331751609</v>
      </c>
      <c r="K56" s="120">
        <f t="shared" si="16"/>
        <v>82349.4331751609</v>
      </c>
      <c r="L56" s="120">
        <f t="shared" si="16"/>
        <v>82349.4331751609</v>
      </c>
      <c r="M56" s="120">
        <f t="shared" si="16"/>
        <v>82349.4331751609</v>
      </c>
      <c r="N56" s="120">
        <f t="shared" si="16"/>
        <v>82349.4331751609</v>
      </c>
      <c r="O56" s="120">
        <f t="shared" si="16"/>
        <v>82349.4331751609</v>
      </c>
      <c r="P56" s="120">
        <f t="shared" si="16"/>
        <v>82349.4331751609</v>
      </c>
      <c r="Q56" s="120">
        <f t="shared" si="16"/>
        <v>82149.7120338305</v>
      </c>
      <c r="R56" s="120">
        <f t="shared" si="16"/>
        <v>81660.2553735018</v>
      </c>
      <c r="S56" s="120">
        <f t="shared" si="16"/>
        <v>81171.1288230145</v>
      </c>
    </row>
    <row r="57" ht="15.75" customHeight="1" spans="1:19">
      <c r="A57" s="117">
        <v>4</v>
      </c>
      <c r="B57" s="118" t="s">
        <v>383</v>
      </c>
      <c r="C57" s="119" t="s">
        <v>4</v>
      </c>
      <c r="D57" s="120">
        <f t="shared" si="15"/>
        <v>-5959960.18965172</v>
      </c>
      <c r="E57" s="120">
        <f>E53</f>
        <v>-319129.944905213</v>
      </c>
      <c r="F57" s="120">
        <f>E57+F53</f>
        <v>-583157.558496054</v>
      </c>
      <c r="G57" s="120">
        <f t="shared" ref="G57:I57" si="17">F57+G53</f>
        <v>-836118.185095322</v>
      </c>
      <c r="H57" s="120">
        <f t="shared" si="17"/>
        <v>-950984.799671416</v>
      </c>
      <c r="I57" s="120">
        <f t="shared" si="17"/>
        <v>-1060901.80475685</v>
      </c>
      <c r="J57" s="120">
        <f t="shared" ref="J57:S57" si="18">I57+J53</f>
        <v>-908110.178869425</v>
      </c>
      <c r="K57" s="120">
        <f t="shared" si="18"/>
        <v>-755318.552982001</v>
      </c>
      <c r="L57" s="120">
        <f t="shared" si="18"/>
        <v>-602526.927094578</v>
      </c>
      <c r="M57" s="120">
        <f t="shared" si="18"/>
        <v>-449735.301207154</v>
      </c>
      <c r="N57" s="120">
        <f t="shared" si="18"/>
        <v>-296943.675319731</v>
      </c>
      <c r="O57" s="120">
        <f t="shared" si="18"/>
        <v>-144152.049432308</v>
      </c>
      <c r="P57" s="120">
        <f t="shared" si="18"/>
        <v>8639.57645511584</v>
      </c>
      <c r="Q57" s="120">
        <f t="shared" si="18"/>
        <v>161341.929511566</v>
      </c>
      <c r="R57" s="120">
        <f t="shared" si="18"/>
        <v>313130.771142752</v>
      </c>
      <c r="S57" s="120">
        <f t="shared" si="18"/>
        <v>464006.511068891</v>
      </c>
    </row>
    <row r="58" ht="15.75" customHeight="1" spans="1:19">
      <c r="A58" s="121"/>
      <c r="B58" s="122"/>
      <c r="C58" s="123" t="s">
        <v>13</v>
      </c>
      <c r="D58" s="120">
        <f t="shared" ref="D58:D60" si="19">SUM(E58:S58)</f>
        <v>-1538309.70825949</v>
      </c>
      <c r="E58" s="120">
        <f t="shared" ref="E58:E60" si="20">E54</f>
        <v>-76326.4646825189</v>
      </c>
      <c r="F58" s="120">
        <f t="shared" ref="F58:F60" si="21">E58+F54</f>
        <v>-142199.038572076</v>
      </c>
      <c r="G58" s="120">
        <f t="shared" ref="G58:G60" si="22">F58+G54</f>
        <v>-205315.76182507</v>
      </c>
      <c r="H58" s="120">
        <f t="shared" ref="H58:H60" si="23">G58+H54</f>
        <v>-243470.400910702</v>
      </c>
      <c r="I58" s="120">
        <f t="shared" ref="I58:S60" si="24">H58+I54</f>
        <v>-279757.076298172</v>
      </c>
      <c r="J58" s="120">
        <f t="shared" si="24"/>
        <v>-239662.029985172</v>
      </c>
      <c r="K58" s="120">
        <f t="shared" si="24"/>
        <v>-199566.983672172</v>
      </c>
      <c r="L58" s="120">
        <f t="shared" si="24"/>
        <v>-159471.937359173</v>
      </c>
      <c r="M58" s="120">
        <f t="shared" si="24"/>
        <v>-119376.891046173</v>
      </c>
      <c r="N58" s="120">
        <f t="shared" si="24"/>
        <v>-79281.8447331729</v>
      </c>
      <c r="O58" s="120">
        <f t="shared" si="24"/>
        <v>-39186.7984201731</v>
      </c>
      <c r="P58" s="120">
        <f t="shared" si="24"/>
        <v>908.247892826694</v>
      </c>
      <c r="Q58" s="120">
        <f t="shared" si="24"/>
        <v>41348.1714464432</v>
      </c>
      <c r="R58" s="120">
        <f t="shared" si="24"/>
        <v>81546.3415880803</v>
      </c>
      <c r="S58" s="120">
        <f t="shared" si="24"/>
        <v>121502.758317738</v>
      </c>
    </row>
    <row r="59" ht="15.75" customHeight="1" spans="1:19">
      <c r="A59" s="121"/>
      <c r="B59" s="122"/>
      <c r="C59" s="123" t="s">
        <v>14</v>
      </c>
      <c r="D59" s="120">
        <f t="shared" si="19"/>
        <v>-1204635.662343</v>
      </c>
      <c r="E59" s="120">
        <f t="shared" si="20"/>
        <v>-67160.199524945</v>
      </c>
      <c r="F59" s="120">
        <f t="shared" si="21"/>
        <v>-121337.49591098</v>
      </c>
      <c r="G59" s="120">
        <f t="shared" si="22"/>
        <v>-173241.215954505</v>
      </c>
      <c r="H59" s="120">
        <f t="shared" si="23"/>
        <v>-191978.586044721</v>
      </c>
      <c r="I59" s="120">
        <f t="shared" si="24"/>
        <v>-210715.956134936</v>
      </c>
      <c r="J59" s="120">
        <f t="shared" ref="J59:S59" si="25">I59+J55</f>
        <v>-180368.809735673</v>
      </c>
      <c r="K59" s="120">
        <f t="shared" si="25"/>
        <v>-150021.663336411</v>
      </c>
      <c r="L59" s="120">
        <f t="shared" si="25"/>
        <v>-119674.516937148</v>
      </c>
      <c r="M59" s="120">
        <f t="shared" si="25"/>
        <v>-89327.3705378853</v>
      </c>
      <c r="N59" s="120">
        <f t="shared" si="25"/>
        <v>-58980.2241386226</v>
      </c>
      <c r="O59" s="120">
        <f t="shared" si="25"/>
        <v>-28633.0777393599</v>
      </c>
      <c r="P59" s="120">
        <f t="shared" si="25"/>
        <v>1714.06865990273</v>
      </c>
      <c r="Q59" s="120">
        <f t="shared" si="25"/>
        <v>31826.786128906</v>
      </c>
      <c r="R59" s="120">
        <f t="shared" si="25"/>
        <v>61757.202244953</v>
      </c>
      <c r="S59" s="120">
        <f t="shared" si="25"/>
        <v>91505.3966184198</v>
      </c>
    </row>
    <row r="60" ht="15.75" customHeight="1" spans="1:19">
      <c r="A60" s="124"/>
      <c r="B60" s="125"/>
      <c r="C60" s="123" t="s">
        <v>15</v>
      </c>
      <c r="D60" s="120">
        <f t="shared" si="19"/>
        <v>-3217014.81904923</v>
      </c>
      <c r="E60" s="120">
        <f t="shared" si="20"/>
        <v>-175643.28069775</v>
      </c>
      <c r="F60" s="120">
        <f t="shared" si="21"/>
        <v>-319621.024012998</v>
      </c>
      <c r="G60" s="120">
        <f t="shared" si="22"/>
        <v>-457561.207315746</v>
      </c>
      <c r="H60" s="120">
        <f t="shared" si="23"/>
        <v>-515535.812715994</v>
      </c>
      <c r="I60" s="120">
        <f t="shared" si="24"/>
        <v>-570428.77232374</v>
      </c>
      <c r="J60" s="120">
        <f t="shared" ref="J60:S60" si="26">I60+J56</f>
        <v>-488079.339148579</v>
      </c>
      <c r="K60" s="120">
        <f t="shared" si="26"/>
        <v>-405729.905973418</v>
      </c>
      <c r="L60" s="120">
        <f t="shared" si="26"/>
        <v>-323380.472798257</v>
      </c>
      <c r="M60" s="120">
        <f t="shared" si="26"/>
        <v>-241031.039623096</v>
      </c>
      <c r="N60" s="120">
        <f t="shared" si="26"/>
        <v>-158681.606447935</v>
      </c>
      <c r="O60" s="120">
        <f t="shared" si="26"/>
        <v>-76332.1732727746</v>
      </c>
      <c r="P60" s="120">
        <f t="shared" si="26"/>
        <v>6017.25990238634</v>
      </c>
      <c r="Q60" s="120">
        <f t="shared" si="26"/>
        <v>88166.9719362169</v>
      </c>
      <c r="R60" s="120">
        <f t="shared" si="26"/>
        <v>169827.227309719</v>
      </c>
      <c r="S60" s="120">
        <f t="shared" si="26"/>
        <v>250998.356132733</v>
      </c>
    </row>
    <row r="61" ht="15.75" customHeight="1" spans="1:19">
      <c r="A61" s="117">
        <v>5</v>
      </c>
      <c r="B61" s="118" t="s">
        <v>349</v>
      </c>
      <c r="C61" s="119" t="s">
        <v>4</v>
      </c>
      <c r="D61" s="120">
        <f>SUM(H61:S61)</f>
        <v>77551.1212251865</v>
      </c>
      <c r="E61" s="120">
        <f>项目公司利润与利润分配表!E49</f>
        <v>0</v>
      </c>
      <c r="F61" s="120">
        <f>项目公司利润与利润分配表!F49</f>
        <v>0</v>
      </c>
      <c r="G61" s="120">
        <f>项目公司利润与利润分配表!G49</f>
        <v>0</v>
      </c>
      <c r="H61" s="120">
        <f>项目公司利润与利润分配表!H49</f>
        <v>0</v>
      </c>
      <c r="I61" s="120">
        <f>项目公司利润与利润分配表!I49</f>
        <v>0</v>
      </c>
      <c r="J61" s="120">
        <f>项目公司利润与利润分配表!J49</f>
        <v>7797.60736670787</v>
      </c>
      <c r="K61" s="120">
        <f>项目公司利润与利润分配表!K49</f>
        <v>7796.00873892055</v>
      </c>
      <c r="L61" s="120">
        <f>项目公司利润与利润分配表!L49</f>
        <v>7805.08353867877</v>
      </c>
      <c r="M61" s="120">
        <f>项目公司利润与利润分配表!M49</f>
        <v>7807.66552532969</v>
      </c>
      <c r="N61" s="120">
        <f>项目公司利润与利润分配表!N49</f>
        <v>7807.27138340517</v>
      </c>
      <c r="O61" s="120">
        <f>项目公司利润与利润分配表!O49</f>
        <v>7809.48776127782</v>
      </c>
      <c r="P61" s="120">
        <f>项目公司利润与利润分配表!P49</f>
        <v>7811.44312890883</v>
      </c>
      <c r="Q61" s="120">
        <f>项目公司利润与利润分配表!Q49</f>
        <v>7794.65473783618</v>
      </c>
      <c r="R61" s="120">
        <f>项目公司利润与利润分配表!R49</f>
        <v>7560.4280599657</v>
      </c>
      <c r="S61" s="120">
        <f>项目公司利润与利润分配表!S49</f>
        <v>7561.47098415593</v>
      </c>
    </row>
    <row r="62" ht="15.75" customHeight="1" spans="1:19">
      <c r="A62" s="121"/>
      <c r="B62" s="122"/>
      <c r="C62" s="123" t="s">
        <v>13</v>
      </c>
      <c r="D62" s="120">
        <f t="shared" ref="D62:D64" si="27">SUM(H62:S62)</f>
        <v>21450.921790791</v>
      </c>
      <c r="E62" s="120">
        <f>项目公司利润与利润分配表!E50</f>
        <v>0</v>
      </c>
      <c r="F62" s="120">
        <f>项目公司利润与利润分配表!F50</f>
        <v>0</v>
      </c>
      <c r="G62" s="120">
        <f>项目公司利润与利润分配表!G50</f>
        <v>0</v>
      </c>
      <c r="H62" s="120">
        <f>项目公司利润与利润分配表!H50</f>
        <v>0</v>
      </c>
      <c r="I62" s="120">
        <f>项目公司利润与利润分配表!I50</f>
        <v>0</v>
      </c>
      <c r="J62" s="120">
        <f>项目公司利润与利润分配表!J50</f>
        <v>2133.99762849223</v>
      </c>
      <c r="K62" s="120">
        <f>项目公司利润与利润分配表!K50</f>
        <v>2133.65800585073</v>
      </c>
      <c r="L62" s="120">
        <f>项目公司利润与利润分配表!L50</f>
        <v>2136.57538659858</v>
      </c>
      <c r="M62" s="120">
        <f>项目公司利润与利润分配表!M50</f>
        <v>2137.11068118521</v>
      </c>
      <c r="N62" s="120">
        <f>项目公司利润与利润分配表!N50</f>
        <v>2137.40331024867</v>
      </c>
      <c r="O62" s="120">
        <f>项目公司利润与利润分配表!O50</f>
        <v>2138.41106013848</v>
      </c>
      <c r="P62" s="120">
        <f>项目公司利润与利润分配表!P50</f>
        <v>2139.09580687714</v>
      </c>
      <c r="Q62" s="120">
        <f>项目公司利润与利润分配表!Q50</f>
        <v>2225.31511703131</v>
      </c>
      <c r="R62" s="120">
        <f>项目公司利润与利润分配表!R50</f>
        <v>2164.89657368175</v>
      </c>
      <c r="S62" s="120">
        <f>项目公司利润与利润分配表!S50</f>
        <v>2104.45822068691</v>
      </c>
    </row>
    <row r="63" ht="15.75" customHeight="1" spans="1:19">
      <c r="A63" s="121"/>
      <c r="B63" s="122"/>
      <c r="C63" s="123" t="s">
        <v>14</v>
      </c>
      <c r="D63" s="120">
        <f t="shared" si="27"/>
        <v>14697.527263962</v>
      </c>
      <c r="E63" s="120">
        <f>项目公司利润与利润分配表!E51</f>
        <v>0</v>
      </c>
      <c r="F63" s="120">
        <f>项目公司利润与利润分配表!F51</f>
        <v>0</v>
      </c>
      <c r="G63" s="120">
        <f>项目公司利润与利润分配表!G51</f>
        <v>0</v>
      </c>
      <c r="H63" s="120">
        <f>项目公司利润与利润分配表!H51</f>
        <v>0</v>
      </c>
      <c r="I63" s="120">
        <f>项目公司利润与利润分配表!I51</f>
        <v>0</v>
      </c>
      <c r="J63" s="120">
        <f>项目公司利润与利润分配表!J51</f>
        <v>1500.25541251902</v>
      </c>
      <c r="K63" s="120">
        <f>项目公司利润与利润分配表!K51</f>
        <v>1499.98440051216</v>
      </c>
      <c r="L63" s="120">
        <f>项目公司利润与利润分配表!L51</f>
        <v>1501.02770391703</v>
      </c>
      <c r="M63" s="120">
        <f>项目公司利润与利润分配表!M51</f>
        <v>1501.3990029002</v>
      </c>
      <c r="N63" s="120">
        <f>项目公司利润与利润分配表!N51</f>
        <v>1501.11245115669</v>
      </c>
      <c r="O63" s="120">
        <f>项目公司利润与利润分配表!O51</f>
        <v>1501.32091073394</v>
      </c>
      <c r="P63" s="120">
        <f>项目公司利润与利润分配表!P51</f>
        <v>1501.44107050223</v>
      </c>
      <c r="Q63" s="120">
        <f>项目公司利润与利润分配表!Q51</f>
        <v>1442.83383793739</v>
      </c>
      <c r="R63" s="120">
        <f>项目公司利润与利润分配表!R51</f>
        <v>1396.76348837754</v>
      </c>
      <c r="S63" s="120">
        <f>项目公司利润与利润分配表!S51</f>
        <v>1351.38898540576</v>
      </c>
    </row>
    <row r="64" ht="15.75" customHeight="1" spans="1:19">
      <c r="A64" s="124"/>
      <c r="B64" s="125"/>
      <c r="C64" s="123" t="s">
        <v>15</v>
      </c>
      <c r="D64" s="120">
        <f t="shared" si="27"/>
        <v>41165.6420167401</v>
      </c>
      <c r="E64" s="120">
        <f>项目公司利润与利润分配表!E52</f>
        <v>0</v>
      </c>
      <c r="F64" s="120">
        <f>项目公司利润与利润分配表!F52</f>
        <v>0</v>
      </c>
      <c r="G64" s="120">
        <f>项目公司利润与利润分配表!G52</f>
        <v>0</v>
      </c>
      <c r="H64" s="120">
        <f>项目公司利润与利润分配表!H52</f>
        <v>0</v>
      </c>
      <c r="I64" s="120">
        <f>项目公司利润与利润分配表!I52</f>
        <v>0</v>
      </c>
      <c r="J64" s="120">
        <f>项目公司利润与利润分配表!J52</f>
        <v>4163.35432569661</v>
      </c>
      <c r="K64" s="120">
        <f>项目公司利润与利润分配表!K52</f>
        <v>4162.36633255767</v>
      </c>
      <c r="L64" s="120">
        <f>项目公司利润与利润分配表!L52</f>
        <v>4167.48044816316</v>
      </c>
      <c r="M64" s="120">
        <f>项目公司利润与利润分配表!M52</f>
        <v>4169.15584124427</v>
      </c>
      <c r="N64" s="120">
        <f>项目公司利润与利润分配表!N52</f>
        <v>4168.7556219998</v>
      </c>
      <c r="O64" s="120">
        <f>项目公司利润与利润分配表!O52</f>
        <v>4169.7557904054</v>
      </c>
      <c r="P64" s="120">
        <f>项目公司利润与利润分配表!P52</f>
        <v>4170.90625152945</v>
      </c>
      <c r="Q64" s="120">
        <f>项目公司利润与利润分配表!Q52</f>
        <v>4120.97596619686</v>
      </c>
      <c r="R64" s="120">
        <f>项目公司利润与利润分配表!R52</f>
        <v>3997.2114134646</v>
      </c>
      <c r="S64" s="120">
        <f>项目公司利润与利润分配表!S52</f>
        <v>3875.68002548222</v>
      </c>
    </row>
    <row r="65" ht="15.75" customHeight="1" spans="1:19">
      <c r="A65" s="117">
        <v>6</v>
      </c>
      <c r="B65" s="118" t="s">
        <v>384</v>
      </c>
      <c r="C65" s="119" t="s">
        <v>4</v>
      </c>
      <c r="D65" s="153"/>
      <c r="E65" s="153">
        <f>E5-E29-E61</f>
        <v>-319129.944905213</v>
      </c>
      <c r="F65" s="153">
        <f t="shared" ref="F65:S65" si="28">F5-F29-F61</f>
        <v>-264027.613590841</v>
      </c>
      <c r="G65" s="153">
        <f t="shared" si="28"/>
        <v>-252960.626599268</v>
      </c>
      <c r="H65" s="153">
        <f t="shared" si="28"/>
        <v>-114866.614576095</v>
      </c>
      <c r="I65" s="153">
        <f t="shared" si="28"/>
        <v>-109917.005085432</v>
      </c>
      <c r="J65" s="153">
        <f t="shared" si="28"/>
        <v>144994.018520716</v>
      </c>
      <c r="K65" s="153">
        <f t="shared" si="28"/>
        <v>144995.617148503</v>
      </c>
      <c r="L65" s="153">
        <f t="shared" si="28"/>
        <v>144986.542348745</v>
      </c>
      <c r="M65" s="153">
        <f t="shared" si="28"/>
        <v>144983.960362094</v>
      </c>
      <c r="N65" s="153">
        <f t="shared" si="28"/>
        <v>144984.354504018</v>
      </c>
      <c r="O65" s="153">
        <f t="shared" si="28"/>
        <v>144982.138126146</v>
      </c>
      <c r="P65" s="153">
        <f t="shared" si="28"/>
        <v>144980.182758515</v>
      </c>
      <c r="Q65" s="153">
        <f t="shared" si="28"/>
        <v>144907.698318614</v>
      </c>
      <c r="R65" s="153">
        <f t="shared" si="28"/>
        <v>144228.41357122</v>
      </c>
      <c r="S65" s="153">
        <f t="shared" si="28"/>
        <v>143314.268941983</v>
      </c>
    </row>
    <row r="66" ht="15.75" customHeight="1" spans="1:19">
      <c r="A66" s="121"/>
      <c r="B66" s="122"/>
      <c r="C66" s="123" t="s">
        <v>13</v>
      </c>
      <c r="D66" s="120"/>
      <c r="E66" s="120">
        <f t="shared" ref="E66:S66" si="29">E6-E30-E62</f>
        <v>-76326.4646825189</v>
      </c>
      <c r="F66" s="120">
        <f t="shared" si="29"/>
        <v>-65872.5738895566</v>
      </c>
      <c r="G66" s="120">
        <f t="shared" si="29"/>
        <v>-63116.7232529944</v>
      </c>
      <c r="H66" s="120">
        <f t="shared" si="29"/>
        <v>-38154.6390856322</v>
      </c>
      <c r="I66" s="120">
        <f t="shared" si="29"/>
        <v>-36286.6753874699</v>
      </c>
      <c r="J66" s="120">
        <f t="shared" si="29"/>
        <v>37961.0486845076</v>
      </c>
      <c r="K66" s="120">
        <f t="shared" si="29"/>
        <v>37961.3883071491</v>
      </c>
      <c r="L66" s="120">
        <f t="shared" si="29"/>
        <v>37958.4709264012</v>
      </c>
      <c r="M66" s="120">
        <f t="shared" si="29"/>
        <v>37957.9356318146</v>
      </c>
      <c r="N66" s="120">
        <f t="shared" si="29"/>
        <v>37957.6430027512</v>
      </c>
      <c r="O66" s="120">
        <f t="shared" si="29"/>
        <v>37956.6352528613</v>
      </c>
      <c r="P66" s="120">
        <f t="shared" si="29"/>
        <v>37955.9505061227</v>
      </c>
      <c r="Q66" s="120">
        <f t="shared" si="29"/>
        <v>38214.6084365852</v>
      </c>
      <c r="R66" s="120">
        <f t="shared" si="29"/>
        <v>38033.2735679554</v>
      </c>
      <c r="S66" s="120">
        <f t="shared" si="29"/>
        <v>37851.9585089708</v>
      </c>
    </row>
    <row r="67" ht="15.75" customHeight="1" spans="1:19">
      <c r="A67" s="121"/>
      <c r="B67" s="122"/>
      <c r="C67" s="123" t="s">
        <v>14</v>
      </c>
      <c r="D67" s="120"/>
      <c r="E67" s="120">
        <f t="shared" ref="E67:S67" si="30">E7-E31-E63</f>
        <v>-67160.199524945</v>
      </c>
      <c r="F67" s="120">
        <f t="shared" si="30"/>
        <v>-54177.2963860351</v>
      </c>
      <c r="G67" s="120">
        <f t="shared" si="30"/>
        <v>-51903.7200435252</v>
      </c>
      <c r="H67" s="120">
        <f t="shared" si="30"/>
        <v>-18737.3700902153</v>
      </c>
      <c r="I67" s="120">
        <f t="shared" si="30"/>
        <v>-18737.3700902153</v>
      </c>
      <c r="J67" s="120">
        <f t="shared" si="30"/>
        <v>28846.8909867436</v>
      </c>
      <c r="K67" s="120">
        <f t="shared" si="30"/>
        <v>28847.1619987505</v>
      </c>
      <c r="L67" s="120">
        <f t="shared" si="30"/>
        <v>28846.1186953456</v>
      </c>
      <c r="M67" s="120">
        <f t="shared" si="30"/>
        <v>28845.7473963625</v>
      </c>
      <c r="N67" s="120">
        <f t="shared" si="30"/>
        <v>28846.033948106</v>
      </c>
      <c r="O67" s="120">
        <f t="shared" si="30"/>
        <v>28845.8254885287</v>
      </c>
      <c r="P67" s="120">
        <f t="shared" si="30"/>
        <v>28845.7053287604</v>
      </c>
      <c r="Q67" s="120">
        <f t="shared" si="30"/>
        <v>28669.8836310659</v>
      </c>
      <c r="R67" s="120">
        <f t="shared" si="30"/>
        <v>28533.6526276694</v>
      </c>
      <c r="S67" s="120">
        <f t="shared" si="30"/>
        <v>28396.805388061</v>
      </c>
    </row>
    <row r="68" ht="15.75" customHeight="1" spans="1:19">
      <c r="A68" s="124"/>
      <c r="B68" s="125"/>
      <c r="C68" s="123" t="s">
        <v>15</v>
      </c>
      <c r="D68" s="120"/>
      <c r="E68" s="120">
        <f t="shared" ref="E68:S68" si="31">E8-E32-E64</f>
        <v>-175643.28069775</v>
      </c>
      <c r="F68" s="120">
        <f t="shared" si="31"/>
        <v>-143977.743315249</v>
      </c>
      <c r="G68" s="120">
        <f t="shared" si="31"/>
        <v>-137940.183302748</v>
      </c>
      <c r="H68" s="120">
        <f t="shared" si="31"/>
        <v>-57974.6054002472</v>
      </c>
      <c r="I68" s="120">
        <f t="shared" si="31"/>
        <v>-54892.9596077464</v>
      </c>
      <c r="J68" s="120">
        <f t="shared" si="31"/>
        <v>78186.0788494643</v>
      </c>
      <c r="K68" s="120">
        <f t="shared" si="31"/>
        <v>78187.0668426032</v>
      </c>
      <c r="L68" s="120">
        <f t="shared" si="31"/>
        <v>78181.9527269977</v>
      </c>
      <c r="M68" s="120">
        <f t="shared" si="31"/>
        <v>78180.2773339166</v>
      </c>
      <c r="N68" s="120">
        <f t="shared" si="31"/>
        <v>78180.6775531611</v>
      </c>
      <c r="O68" s="120">
        <f t="shared" si="31"/>
        <v>78179.6773847555</v>
      </c>
      <c r="P68" s="120">
        <f t="shared" si="31"/>
        <v>78178.5269236314</v>
      </c>
      <c r="Q68" s="120">
        <f t="shared" si="31"/>
        <v>78028.7360676337</v>
      </c>
      <c r="R68" s="120">
        <f t="shared" si="31"/>
        <v>77663.0439600372</v>
      </c>
      <c r="S68" s="120">
        <f t="shared" si="31"/>
        <v>77295.4487975323</v>
      </c>
    </row>
    <row r="69" ht="15.75" customHeight="1" spans="1:19">
      <c r="A69" s="117">
        <v>7</v>
      </c>
      <c r="B69" s="118" t="s">
        <v>385</v>
      </c>
      <c r="C69" s="119" t="s">
        <v>4</v>
      </c>
      <c r="D69" s="153"/>
      <c r="E69" s="153">
        <f>E65</f>
        <v>-319129.944905213</v>
      </c>
      <c r="F69" s="153">
        <f>E69+F65</f>
        <v>-583157.558496054</v>
      </c>
      <c r="G69" s="153">
        <f>F69+G65</f>
        <v>-836118.185095322</v>
      </c>
      <c r="H69" s="153">
        <f t="shared" ref="H69:S69" si="32">G69+H65</f>
        <v>-950984.799671416</v>
      </c>
      <c r="I69" s="153">
        <f t="shared" si="32"/>
        <v>-1060901.80475685</v>
      </c>
      <c r="J69" s="153">
        <f t="shared" si="32"/>
        <v>-915907.786236132</v>
      </c>
      <c r="K69" s="153">
        <f t="shared" si="32"/>
        <v>-770912.16908763</v>
      </c>
      <c r="L69" s="153">
        <f t="shared" si="32"/>
        <v>-625925.626738885</v>
      </c>
      <c r="M69" s="153">
        <f t="shared" si="32"/>
        <v>-480941.666376791</v>
      </c>
      <c r="N69" s="153">
        <f t="shared" si="32"/>
        <v>-335957.311872773</v>
      </c>
      <c r="O69" s="153">
        <f t="shared" si="32"/>
        <v>-190975.173746628</v>
      </c>
      <c r="P69" s="153">
        <f t="shared" si="32"/>
        <v>-45994.990988113</v>
      </c>
      <c r="Q69" s="153">
        <f t="shared" si="32"/>
        <v>98912.7073305011</v>
      </c>
      <c r="R69" s="153">
        <f t="shared" si="32"/>
        <v>243141.120901721</v>
      </c>
      <c r="S69" s="153">
        <f t="shared" si="32"/>
        <v>386455.389843704</v>
      </c>
    </row>
    <row r="70" ht="15.75" customHeight="1" spans="1:19">
      <c r="A70" s="121"/>
      <c r="B70" s="122"/>
      <c r="C70" s="123" t="s">
        <v>13</v>
      </c>
      <c r="D70" s="120"/>
      <c r="E70" s="120">
        <f t="shared" ref="E70:E72" si="33">E66</f>
        <v>-76326.4646825189</v>
      </c>
      <c r="F70" s="120">
        <f t="shared" ref="F70:G70" si="34">E70+F66</f>
        <v>-142199.038572076</v>
      </c>
      <c r="G70" s="120">
        <f t="shared" si="34"/>
        <v>-205315.76182507</v>
      </c>
      <c r="H70" s="120">
        <f t="shared" ref="H70:H72" si="35">G70+H66</f>
        <v>-243470.400910702</v>
      </c>
      <c r="I70" s="120">
        <f t="shared" ref="I70:I72" si="36">H70+I66</f>
        <v>-279757.076298172</v>
      </c>
      <c r="J70" s="120">
        <f t="shared" ref="J70:J72" si="37">I70+J66</f>
        <v>-241796.027613664</v>
      </c>
      <c r="K70" s="120">
        <f t="shared" ref="K70:K72" si="38">J70+K66</f>
        <v>-203834.639306515</v>
      </c>
      <c r="L70" s="120">
        <f t="shared" ref="L70:L72" si="39">K70+L66</f>
        <v>-165876.168380114</v>
      </c>
      <c r="M70" s="120">
        <f t="shared" ref="M70:M72" si="40">L70+M66</f>
        <v>-127918.2327483</v>
      </c>
      <c r="N70" s="120">
        <f t="shared" ref="N70:O72" si="41">M70+N66</f>
        <v>-89960.5897455484</v>
      </c>
      <c r="O70" s="120">
        <f t="shared" si="41"/>
        <v>-52003.9544926871</v>
      </c>
      <c r="P70" s="120">
        <f t="shared" ref="P70:P72" si="42">O70+P66</f>
        <v>-14048.0039865644</v>
      </c>
      <c r="Q70" s="120">
        <f t="shared" ref="Q70:Q72" si="43">P70+Q66</f>
        <v>24166.6044500208</v>
      </c>
      <c r="R70" s="120">
        <f t="shared" ref="R70:R72" si="44">Q70+R66</f>
        <v>62199.8780179762</v>
      </c>
      <c r="S70" s="120">
        <f t="shared" ref="S70:S72" si="45">R70+S66</f>
        <v>100051.836526947</v>
      </c>
    </row>
    <row r="71" ht="15.75" customHeight="1" spans="1:19">
      <c r="A71" s="121"/>
      <c r="B71" s="122"/>
      <c r="C71" s="123" t="s">
        <v>14</v>
      </c>
      <c r="D71" s="120"/>
      <c r="E71" s="120">
        <f t="shared" si="33"/>
        <v>-67160.199524945</v>
      </c>
      <c r="F71" s="120">
        <f t="shared" ref="F71:G71" si="46">E71+F67</f>
        <v>-121337.49591098</v>
      </c>
      <c r="G71" s="120">
        <f t="shared" si="46"/>
        <v>-173241.215954505</v>
      </c>
      <c r="H71" s="120">
        <f t="shared" si="35"/>
        <v>-191978.586044721</v>
      </c>
      <c r="I71" s="120">
        <f t="shared" si="36"/>
        <v>-210715.956134936</v>
      </c>
      <c r="J71" s="120">
        <f t="shared" si="37"/>
        <v>-181869.065148192</v>
      </c>
      <c r="K71" s="120">
        <f t="shared" si="38"/>
        <v>-153021.903149442</v>
      </c>
      <c r="L71" s="120">
        <f t="shared" si="39"/>
        <v>-124175.784454096</v>
      </c>
      <c r="M71" s="120">
        <f t="shared" si="40"/>
        <v>-95330.0370577337</v>
      </c>
      <c r="N71" s="120">
        <f t="shared" si="41"/>
        <v>-66484.0031096277</v>
      </c>
      <c r="O71" s="120">
        <f t="shared" ref="O71:O72" si="47">N71+O67</f>
        <v>-37638.177621099</v>
      </c>
      <c r="P71" s="120">
        <f t="shared" si="42"/>
        <v>-8792.47229233854</v>
      </c>
      <c r="Q71" s="120">
        <f t="shared" si="43"/>
        <v>19877.4113387274</v>
      </c>
      <c r="R71" s="120">
        <f t="shared" si="44"/>
        <v>48411.0639663968</v>
      </c>
      <c r="S71" s="120">
        <f t="shared" si="45"/>
        <v>76807.8693544578</v>
      </c>
    </row>
    <row r="72" ht="15.75" customHeight="1" spans="1:19">
      <c r="A72" s="124"/>
      <c r="B72" s="125"/>
      <c r="C72" s="123" t="s">
        <v>15</v>
      </c>
      <c r="D72" s="120"/>
      <c r="E72" s="120">
        <f t="shared" si="33"/>
        <v>-175643.28069775</v>
      </c>
      <c r="F72" s="120">
        <f t="shared" ref="F72:G72" si="48">E72+F68</f>
        <v>-319621.024012998</v>
      </c>
      <c r="G72" s="120">
        <f t="shared" si="48"/>
        <v>-457561.207315746</v>
      </c>
      <c r="H72" s="120">
        <f t="shared" si="35"/>
        <v>-515535.812715994</v>
      </c>
      <c r="I72" s="120">
        <f t="shared" si="36"/>
        <v>-570428.77232374</v>
      </c>
      <c r="J72" s="120">
        <f t="shared" si="37"/>
        <v>-492242.693474276</v>
      </c>
      <c r="K72" s="120">
        <f t="shared" si="38"/>
        <v>-414055.626631672</v>
      </c>
      <c r="L72" s="120">
        <f t="shared" si="39"/>
        <v>-335873.673904675</v>
      </c>
      <c r="M72" s="120">
        <f t="shared" si="40"/>
        <v>-257693.396570758</v>
      </c>
      <c r="N72" s="120">
        <f t="shared" si="41"/>
        <v>-179512.719017597</v>
      </c>
      <c r="O72" s="120">
        <f t="shared" si="47"/>
        <v>-101333.041632841</v>
      </c>
      <c r="P72" s="120">
        <f t="shared" si="42"/>
        <v>-23154.51470921</v>
      </c>
      <c r="Q72" s="120">
        <f t="shared" si="43"/>
        <v>54874.2213584236</v>
      </c>
      <c r="R72" s="120">
        <f t="shared" si="44"/>
        <v>132537.265318461</v>
      </c>
      <c r="S72" s="120">
        <f t="shared" si="45"/>
        <v>209832.714115993</v>
      </c>
    </row>
    <row r="73" ht="97.5" customHeight="1" spans="1:19">
      <c r="A73" s="154" t="s">
        <v>386</v>
      </c>
      <c r="B73" s="155"/>
      <c r="C73" s="155"/>
      <c r="D73" s="155"/>
      <c r="E73" s="155"/>
      <c r="F73" s="156"/>
      <c r="G73" s="157"/>
      <c r="H73" s="157"/>
      <c r="I73" s="156"/>
      <c r="J73" s="174"/>
      <c r="K73" s="175"/>
      <c r="L73" s="156"/>
      <c r="M73" s="156"/>
      <c r="N73" s="156"/>
      <c r="O73" s="156"/>
      <c r="P73" s="175"/>
      <c r="Q73" s="156"/>
      <c r="R73" s="156"/>
      <c r="S73" s="156"/>
    </row>
    <row r="74" ht="17.25" customHeight="1" spans="1:19">
      <c r="A74" s="158" t="s">
        <v>387</v>
      </c>
      <c r="B74" s="159"/>
      <c r="C74" s="159"/>
      <c r="D74" s="160"/>
      <c r="E74" s="161">
        <f>D111</f>
        <v>0.0546711136226408</v>
      </c>
      <c r="F74" s="162"/>
      <c r="G74" s="162"/>
      <c r="H74" s="162"/>
      <c r="I74" s="162"/>
      <c r="K74" s="162"/>
      <c r="L74" s="162"/>
      <c r="M74" s="162"/>
      <c r="N74" s="162"/>
      <c r="O74" s="162"/>
      <c r="P74" s="162"/>
      <c r="Q74" s="162"/>
      <c r="R74" s="162"/>
      <c r="S74" s="162"/>
    </row>
    <row r="75" ht="17.25" customHeight="1" spans="1:19">
      <c r="A75" s="158" t="s">
        <v>388</v>
      </c>
      <c r="B75" s="159"/>
      <c r="C75" s="159"/>
      <c r="D75" s="160"/>
      <c r="E75" s="161">
        <f>D112</f>
        <v>0.0468326532995087</v>
      </c>
      <c r="F75" s="162"/>
      <c r="G75" s="162"/>
      <c r="H75" s="162"/>
      <c r="I75" s="162"/>
      <c r="K75" s="162"/>
      <c r="L75" s="162"/>
      <c r="M75" s="162"/>
      <c r="N75" s="162"/>
      <c r="O75" s="162"/>
      <c r="P75" s="162"/>
      <c r="Q75" s="162"/>
      <c r="R75" s="162"/>
      <c r="S75" s="162"/>
    </row>
    <row r="76" ht="30.75" customHeight="1" spans="1:19">
      <c r="A76" s="158" t="s">
        <v>389</v>
      </c>
      <c r="B76" s="159"/>
      <c r="C76" s="159"/>
      <c r="D76" s="160"/>
      <c r="E76" s="163">
        <f>NPV(4.44%,E111:S111)</f>
        <v>64460.7186784338</v>
      </c>
      <c r="F76" s="164"/>
      <c r="G76" s="165"/>
      <c r="H76" s="165"/>
      <c r="I76" s="165"/>
      <c r="K76" s="165"/>
      <c r="L76" s="165"/>
      <c r="M76" s="165"/>
      <c r="N76" s="165"/>
      <c r="O76" s="165"/>
      <c r="P76" s="165"/>
      <c r="Q76" s="165"/>
      <c r="R76" s="165"/>
      <c r="S76" s="165"/>
    </row>
    <row r="77" ht="17.25" customHeight="1" spans="1:19">
      <c r="A77" s="158" t="s">
        <v>390</v>
      </c>
      <c r="B77" s="159"/>
      <c r="C77" s="159"/>
      <c r="D77" s="160"/>
      <c r="E77" s="163">
        <f>NPV(4.44%,E112:S112)</f>
        <v>14881.1908478556</v>
      </c>
      <c r="G77" s="165"/>
      <c r="H77" s="165"/>
      <c r="I77" s="165"/>
      <c r="K77" s="165"/>
      <c r="L77" s="165"/>
      <c r="M77" s="165"/>
      <c r="N77" s="165"/>
      <c r="O77" s="165"/>
      <c r="P77" s="165"/>
      <c r="Q77" s="165"/>
      <c r="R77" s="165"/>
      <c r="S77" s="165"/>
    </row>
    <row r="78" ht="17.25" customHeight="1" spans="1:19">
      <c r="A78" s="158" t="s">
        <v>391</v>
      </c>
      <c r="B78" s="159"/>
      <c r="C78" s="159"/>
      <c r="D78" s="160"/>
      <c r="E78" s="166">
        <f>11+ABS(O57/P53)</f>
        <v>11.9434551703672</v>
      </c>
      <c r="F78" s="165"/>
      <c r="H78" s="165"/>
      <c r="I78" s="165"/>
      <c r="K78" s="165"/>
      <c r="L78" s="165"/>
      <c r="M78" s="165"/>
      <c r="N78" s="165"/>
      <c r="O78" s="165"/>
      <c r="P78" s="165"/>
      <c r="Q78" s="165"/>
      <c r="R78" s="165"/>
      <c r="S78" s="165"/>
    </row>
    <row r="79" ht="17.25" customHeight="1" spans="1:19">
      <c r="A79" s="158" t="s">
        <v>392</v>
      </c>
      <c r="B79" s="159"/>
      <c r="C79" s="159"/>
      <c r="D79" s="160"/>
      <c r="E79" s="167">
        <f>12+ABS(P69/Q65)</f>
        <v>12.3174088852545</v>
      </c>
      <c r="F79" s="165"/>
      <c r="H79" s="165"/>
      <c r="I79" s="165"/>
      <c r="K79" s="165"/>
      <c r="L79" s="165"/>
      <c r="M79" s="165"/>
      <c r="N79" s="165"/>
      <c r="O79" s="165"/>
      <c r="P79" s="165"/>
      <c r="Q79" s="165"/>
      <c r="R79" s="165"/>
      <c r="S79" s="165"/>
    </row>
    <row r="80" spans="1:5">
      <c r="A80" s="168" t="str">
        <f>'项目资本金现金流量表 '!$A$65</f>
        <v>资本金投资财务内部收益率</v>
      </c>
      <c r="B80" s="168"/>
      <c r="C80" s="168"/>
      <c r="D80" s="168"/>
      <c r="E80" s="161">
        <f>'项目资本金现金流量表 '!D65</f>
        <v>0.0600446933845642</v>
      </c>
    </row>
    <row r="82" hidden="1" spans="5:9">
      <c r="E82" s="149">
        <f>E5</f>
        <v>6379.99481858648</v>
      </c>
      <c r="F82" s="149">
        <f t="shared" ref="F82:I82" si="49">F5</f>
        <v>18293.4831329594</v>
      </c>
      <c r="G82" s="149">
        <f t="shared" si="49"/>
        <v>29360.4701245324</v>
      </c>
      <c r="H82" s="149">
        <f t="shared" si="49"/>
        <v>37887.9531477054</v>
      </c>
      <c r="I82" s="149">
        <f t="shared" si="49"/>
        <v>42837.5626383684</v>
      </c>
    </row>
    <row r="83" hidden="1" spans="5:19">
      <c r="E83" s="169"/>
      <c r="I83" s="149">
        <f t="shared" ref="I83:R83" si="50">J5</f>
        <v>155386.150473327</v>
      </c>
      <c r="J83" s="149">
        <f t="shared" si="50"/>
        <v>156212.513551827</v>
      </c>
      <c r="K83" s="149">
        <f t="shared" si="50"/>
        <v>157742.610667635</v>
      </c>
      <c r="L83" s="149">
        <f t="shared" si="50"/>
        <v>158392.685600481</v>
      </c>
      <c r="M83" s="149">
        <f t="shared" si="50"/>
        <v>158782.426972082</v>
      </c>
      <c r="N83" s="149">
        <f t="shared" si="50"/>
        <v>159227.256632035</v>
      </c>
      <c r="O83" s="149">
        <f t="shared" si="50"/>
        <v>159785.858462485</v>
      </c>
      <c r="P83" s="149">
        <f t="shared" si="50"/>
        <v>159785.858462485</v>
      </c>
      <c r="Q83" s="149">
        <f t="shared" si="50"/>
        <v>159816.463067125</v>
      </c>
      <c r="R83" s="149">
        <f t="shared" si="50"/>
        <v>160033.449117686</v>
      </c>
      <c r="S83" s="109">
        <v>0</v>
      </c>
    </row>
    <row r="84" hidden="1" spans="5:19">
      <c r="E84" s="170">
        <f>E29</f>
        <v>325509.9397238</v>
      </c>
      <c r="F84" s="170">
        <f t="shared" ref="F84:S84" si="51">F29</f>
        <v>282321.0967238</v>
      </c>
      <c r="G84" s="170">
        <f t="shared" si="51"/>
        <v>282321.0967238</v>
      </c>
      <c r="H84" s="170">
        <f t="shared" si="51"/>
        <v>152754.5677238</v>
      </c>
      <c r="I84" s="170">
        <f t="shared" si="51"/>
        <v>152754.5677238</v>
      </c>
      <c r="J84" s="170">
        <f t="shared" si="51"/>
        <v>2594.524585904</v>
      </c>
      <c r="K84" s="170">
        <f t="shared" si="51"/>
        <v>3420.887664404</v>
      </c>
      <c r="L84" s="170">
        <f t="shared" si="51"/>
        <v>4950.984780212</v>
      </c>
      <c r="M84" s="170">
        <f t="shared" si="51"/>
        <v>5601.05971305784</v>
      </c>
      <c r="N84" s="170">
        <f t="shared" si="51"/>
        <v>5990.80108465896</v>
      </c>
      <c r="O84" s="170">
        <f t="shared" si="51"/>
        <v>6435.63074461208</v>
      </c>
      <c r="P84" s="170">
        <f t="shared" si="51"/>
        <v>6994.2325750618</v>
      </c>
      <c r="Q84" s="170">
        <f t="shared" si="51"/>
        <v>7083.50540603488</v>
      </c>
      <c r="R84" s="170">
        <f t="shared" si="51"/>
        <v>8027.6214359393</v>
      </c>
      <c r="S84" s="170">
        <f t="shared" si="51"/>
        <v>9157.70919154694</v>
      </c>
    </row>
    <row r="85" hidden="1"/>
    <row r="86" hidden="1" spans="1:19">
      <c r="A86" s="171" t="s">
        <v>393</v>
      </c>
      <c r="D86" s="109">
        <v>0</v>
      </c>
      <c r="E86" s="149">
        <f>E82+E83-E84</f>
        <v>-319129.944905213</v>
      </c>
      <c r="F86" s="149">
        <f t="shared" ref="F86:S86" si="52">F82+F83-F84</f>
        <v>-264027.613590841</v>
      </c>
      <c r="G86" s="149">
        <f t="shared" si="52"/>
        <v>-252960.626599268</v>
      </c>
      <c r="H86" s="149">
        <f t="shared" si="52"/>
        <v>-114866.614576095</v>
      </c>
      <c r="I86" s="149">
        <f t="shared" si="52"/>
        <v>45469.1453878958</v>
      </c>
      <c r="J86" s="149">
        <f t="shared" si="52"/>
        <v>153617.988965923</v>
      </c>
      <c r="K86" s="149">
        <f t="shared" si="52"/>
        <v>154321.723003231</v>
      </c>
      <c r="L86" s="149">
        <f t="shared" si="52"/>
        <v>153441.700820269</v>
      </c>
      <c r="M86" s="149">
        <f t="shared" si="52"/>
        <v>153181.367259024</v>
      </c>
      <c r="N86" s="149">
        <f t="shared" si="52"/>
        <v>153236.455547376</v>
      </c>
      <c r="O86" s="149">
        <f t="shared" si="52"/>
        <v>153350.227717873</v>
      </c>
      <c r="P86" s="149">
        <f t="shared" si="52"/>
        <v>152791.625887423</v>
      </c>
      <c r="Q86" s="149">
        <f t="shared" si="52"/>
        <v>152732.95766109</v>
      </c>
      <c r="R86" s="149">
        <f t="shared" si="52"/>
        <v>152005.827681747</v>
      </c>
      <c r="S86" s="149">
        <f t="shared" si="52"/>
        <v>-9157.70919154694</v>
      </c>
    </row>
    <row r="87" hidden="1" spans="1:19">
      <c r="A87" s="171" t="s">
        <v>394</v>
      </c>
      <c r="D87" s="109">
        <v>0</v>
      </c>
      <c r="E87" s="149">
        <f>E86-E61</f>
        <v>-319129.944905213</v>
      </c>
      <c r="F87" s="149">
        <f t="shared" ref="F87:S87" si="53">F86-F61</f>
        <v>-264027.613590841</v>
      </c>
      <c r="G87" s="149">
        <f t="shared" si="53"/>
        <v>-252960.626599268</v>
      </c>
      <c r="H87" s="149">
        <f t="shared" si="53"/>
        <v>-114866.614576095</v>
      </c>
      <c r="I87" s="149">
        <f t="shared" si="53"/>
        <v>45469.1453878958</v>
      </c>
      <c r="J87" s="149">
        <f t="shared" si="53"/>
        <v>145820.381599215</v>
      </c>
      <c r="K87" s="149">
        <f t="shared" si="53"/>
        <v>146525.714264311</v>
      </c>
      <c r="L87" s="149">
        <f t="shared" si="53"/>
        <v>145636.61728159</v>
      </c>
      <c r="M87" s="149">
        <f t="shared" si="53"/>
        <v>145373.701733695</v>
      </c>
      <c r="N87" s="149">
        <f t="shared" si="53"/>
        <v>145429.184163971</v>
      </c>
      <c r="O87" s="149">
        <f t="shared" si="53"/>
        <v>145540.739956595</v>
      </c>
      <c r="P87" s="149">
        <f t="shared" si="53"/>
        <v>144980.182758515</v>
      </c>
      <c r="Q87" s="149">
        <f t="shared" si="53"/>
        <v>144938.302923254</v>
      </c>
      <c r="R87" s="149">
        <f t="shared" si="53"/>
        <v>144445.399621781</v>
      </c>
      <c r="S87" s="149">
        <f t="shared" si="53"/>
        <v>-16719.1801757029</v>
      </c>
    </row>
    <row r="88" hidden="1" spans="1:1">
      <c r="A88" s="172" t="s">
        <v>395</v>
      </c>
    </row>
    <row r="89" hidden="1"/>
    <row r="90" s="150" customFormat="1" ht="10.5" hidden="1" spans="5:19">
      <c r="E90" s="149">
        <f>E86</f>
        <v>-319129.944905213</v>
      </c>
      <c r="F90" s="149">
        <f>E90+F86</f>
        <v>-583157.558496054</v>
      </c>
      <c r="G90" s="149">
        <f>F90+G86</f>
        <v>-836118.185095322</v>
      </c>
      <c r="H90" s="149">
        <f>G90+H86</f>
        <v>-950984.799671416</v>
      </c>
      <c r="I90" s="149">
        <f>H90+I86</f>
        <v>-905515.654283521</v>
      </c>
      <c r="J90" s="149">
        <f t="shared" ref="J90:S90" si="54">I90+J86</f>
        <v>-751897.665317597</v>
      </c>
      <c r="K90" s="149">
        <f t="shared" si="54"/>
        <v>-597575.942314366</v>
      </c>
      <c r="L90" s="149">
        <f t="shared" si="54"/>
        <v>-444134.241494097</v>
      </c>
      <c r="M90" s="149">
        <f t="shared" si="54"/>
        <v>-290952.874235072</v>
      </c>
      <c r="N90" s="149">
        <f t="shared" si="54"/>
        <v>-137716.418687696</v>
      </c>
      <c r="O90" s="149">
        <f t="shared" si="54"/>
        <v>15633.8090301775</v>
      </c>
      <c r="P90" s="149">
        <f t="shared" si="54"/>
        <v>168425.434917601</v>
      </c>
      <c r="Q90" s="149">
        <f t="shared" si="54"/>
        <v>321158.392578691</v>
      </c>
      <c r="R90" s="149">
        <f t="shared" si="54"/>
        <v>473164.220260438</v>
      </c>
      <c r="S90" s="149">
        <f t="shared" si="54"/>
        <v>464006.511068891</v>
      </c>
    </row>
    <row r="91" s="150" customFormat="1" ht="10.5" hidden="1" spans="5:19">
      <c r="E91" s="149">
        <f>E87</f>
        <v>-319129.944905213</v>
      </c>
      <c r="F91" s="149">
        <f>E91+F87</f>
        <v>-583157.558496054</v>
      </c>
      <c r="G91" s="149">
        <f t="shared" ref="G91:S91" si="55">F91+G87</f>
        <v>-836118.185095322</v>
      </c>
      <c r="H91" s="149">
        <f t="shared" si="55"/>
        <v>-950984.799671416</v>
      </c>
      <c r="I91" s="149">
        <f t="shared" si="55"/>
        <v>-905515.654283521</v>
      </c>
      <c r="J91" s="149">
        <f t="shared" si="55"/>
        <v>-759695.272684305</v>
      </c>
      <c r="K91" s="149">
        <f t="shared" si="55"/>
        <v>-613169.558419994</v>
      </c>
      <c r="L91" s="149">
        <f t="shared" si="55"/>
        <v>-467532.941138404</v>
      </c>
      <c r="M91" s="149">
        <f t="shared" si="55"/>
        <v>-322159.239404709</v>
      </c>
      <c r="N91" s="149">
        <f t="shared" si="55"/>
        <v>-176730.055240738</v>
      </c>
      <c r="O91" s="149">
        <f t="shared" si="55"/>
        <v>-31189.3152841423</v>
      </c>
      <c r="P91" s="149">
        <f t="shared" si="55"/>
        <v>113790.867474372</v>
      </c>
      <c r="Q91" s="149">
        <f t="shared" si="55"/>
        <v>258729.170397626</v>
      </c>
      <c r="R91" s="149">
        <f t="shared" si="55"/>
        <v>403174.570019407</v>
      </c>
      <c r="S91" s="149">
        <f t="shared" si="55"/>
        <v>386455.389843705</v>
      </c>
    </row>
    <row r="92" s="150" customFormat="1" ht="10.5" hidden="1"/>
    <row r="93" s="150" customFormat="1" ht="10.5" hidden="1"/>
    <row r="94" s="150" customFormat="1" ht="10.5" hidden="1"/>
    <row r="95" s="150" customFormat="1" hidden="1" spans="1:5">
      <c r="A95" s="158" t="s">
        <v>387</v>
      </c>
      <c r="B95" s="159"/>
      <c r="C95" s="159"/>
      <c r="D95" s="160"/>
      <c r="E95" s="146">
        <f>IRR(E86:S86)</f>
        <v>0.0546711136226408</v>
      </c>
    </row>
    <row r="96" s="150" customFormat="1" hidden="1" spans="1:7">
      <c r="A96" s="158" t="s">
        <v>388</v>
      </c>
      <c r="B96" s="159"/>
      <c r="C96" s="159"/>
      <c r="D96" s="160"/>
      <c r="E96" s="146">
        <f>IRR(E87:S87)</f>
        <v>0.0468326532995087</v>
      </c>
      <c r="G96" s="173">
        <f>IRR(D86:S86)</f>
        <v>0.0546711136226408</v>
      </c>
    </row>
    <row r="97" s="150" customFormat="1" hidden="1" spans="1:7">
      <c r="A97" s="158" t="s">
        <v>389</v>
      </c>
      <c r="B97" s="159"/>
      <c r="C97" s="159"/>
      <c r="D97" s="160"/>
      <c r="E97" s="147">
        <f>NPV(4.44%,E86:S86)</f>
        <v>64460.7186784338</v>
      </c>
      <c r="G97" s="173"/>
    </row>
    <row r="98" s="150" customFormat="1" hidden="1" spans="1:5">
      <c r="A98" s="158" t="s">
        <v>390</v>
      </c>
      <c r="B98" s="159"/>
      <c r="C98" s="159"/>
      <c r="D98" s="160"/>
      <c r="E98" s="147">
        <f>NPV(4.44%,E87:S87)</f>
        <v>14881.1908478556</v>
      </c>
    </row>
    <row r="99" hidden="1" spans="1:5">
      <c r="A99" s="158" t="s">
        <v>391</v>
      </c>
      <c r="B99" s="159"/>
      <c r="C99" s="159"/>
      <c r="D99" s="160"/>
      <c r="E99" s="166">
        <f>10+ABS(N90/O86)</f>
        <v>10.8980516086423</v>
      </c>
    </row>
    <row r="100" hidden="1" spans="1:5">
      <c r="A100" s="158" t="s">
        <v>392</v>
      </c>
      <c r="B100" s="159"/>
      <c r="C100" s="159"/>
      <c r="D100" s="160"/>
      <c r="E100" s="167">
        <f>10+ABS(N91/O87)</f>
        <v>11.214299551407</v>
      </c>
    </row>
    <row r="101" hidden="1" spans="1:5">
      <c r="A101" s="158" t="str">
        <f>'项目资本金现金流量表 '!$A$65</f>
        <v>资本金投资财务内部收益率</v>
      </c>
      <c r="B101" s="159"/>
      <c r="C101" s="159"/>
      <c r="D101" s="160"/>
      <c r="E101" s="161">
        <f>'项目资本金现金流量表 '!D86</f>
        <v>0.0600446933845642</v>
      </c>
    </row>
    <row r="107" s="150" customFormat="1" ht="10.5" spans="9:18">
      <c r="I107" s="149">
        <f t="shared" ref="I107:R107" si="56">J17</f>
        <v>1679.89496</v>
      </c>
      <c r="J107" s="149">
        <f t="shared" si="56"/>
        <v>1866.29496</v>
      </c>
      <c r="K107" s="149">
        <f t="shared" si="56"/>
        <v>2301.99328</v>
      </c>
      <c r="L107" s="149">
        <f t="shared" si="56"/>
        <v>2488.39328</v>
      </c>
      <c r="M107" s="149">
        <f t="shared" si="56"/>
        <v>2924.0916</v>
      </c>
      <c r="N107" s="149">
        <f t="shared" si="56"/>
        <v>3110.4916</v>
      </c>
      <c r="O107" s="149">
        <f t="shared" si="56"/>
        <v>3359.78992</v>
      </c>
      <c r="P107" s="149">
        <f t="shared" si="56"/>
        <v>3359.78992</v>
      </c>
      <c r="Q107" s="149">
        <f t="shared" si="56"/>
        <v>3609.08824</v>
      </c>
      <c r="R107" s="149">
        <f t="shared" si="56"/>
        <v>3609.08824</v>
      </c>
    </row>
    <row r="108" s="150" customFormat="1" ht="10.5" spans="5:9">
      <c r="E108" s="149">
        <f>E13</f>
        <v>6379.99481858648</v>
      </c>
      <c r="F108" s="149">
        <f t="shared" ref="F108:I108" si="57">F13</f>
        <v>18293.4831329594</v>
      </c>
      <c r="G108" s="149">
        <f t="shared" si="57"/>
        <v>29360.4701245324</v>
      </c>
      <c r="H108" s="149">
        <f t="shared" si="57"/>
        <v>37887.9531477054</v>
      </c>
      <c r="I108" s="149">
        <f t="shared" si="57"/>
        <v>42837.5626383684</v>
      </c>
    </row>
    <row r="109" s="150" customFormat="1" ht="10.5" spans="9:18">
      <c r="I109" s="149">
        <f t="shared" ref="I109:R109" si="58">J13</f>
        <v>153706.255513327</v>
      </c>
      <c r="J109" s="149">
        <f t="shared" si="58"/>
        <v>154346.218591827</v>
      </c>
      <c r="K109" s="149">
        <f t="shared" si="58"/>
        <v>155440.617387635</v>
      </c>
      <c r="L109" s="149">
        <f t="shared" si="58"/>
        <v>155904.292320481</v>
      </c>
      <c r="M109" s="149">
        <f t="shared" si="58"/>
        <v>155858.335372082</v>
      </c>
      <c r="N109" s="149">
        <f t="shared" si="58"/>
        <v>156116.765032035</v>
      </c>
      <c r="O109" s="149">
        <f t="shared" si="58"/>
        <v>156426.068542485</v>
      </c>
      <c r="P109" s="149">
        <f t="shared" si="58"/>
        <v>156426.068542485</v>
      </c>
      <c r="Q109" s="149">
        <f t="shared" si="58"/>
        <v>156207.374827125</v>
      </c>
      <c r="R109" s="149">
        <f t="shared" si="58"/>
        <v>156424.360877686</v>
      </c>
    </row>
    <row r="110" s="150" customFormat="1" ht="10.5" spans="5:19">
      <c r="E110" s="149">
        <f>E29</f>
        <v>325509.9397238</v>
      </c>
      <c r="F110" s="149">
        <f t="shared" ref="F110:S110" si="59">F29</f>
        <v>282321.0967238</v>
      </c>
      <c r="G110" s="149">
        <f t="shared" si="59"/>
        <v>282321.0967238</v>
      </c>
      <c r="H110" s="149">
        <f t="shared" si="59"/>
        <v>152754.5677238</v>
      </c>
      <c r="I110" s="149">
        <f t="shared" si="59"/>
        <v>152754.5677238</v>
      </c>
      <c r="J110" s="149">
        <f t="shared" si="59"/>
        <v>2594.524585904</v>
      </c>
      <c r="K110" s="149">
        <f t="shared" si="59"/>
        <v>3420.887664404</v>
      </c>
      <c r="L110" s="149">
        <f t="shared" si="59"/>
        <v>4950.984780212</v>
      </c>
      <c r="M110" s="149">
        <f t="shared" si="59"/>
        <v>5601.05971305784</v>
      </c>
      <c r="N110" s="149">
        <f t="shared" si="59"/>
        <v>5990.80108465896</v>
      </c>
      <c r="O110" s="149">
        <f t="shared" si="59"/>
        <v>6435.63074461208</v>
      </c>
      <c r="P110" s="149">
        <f t="shared" si="59"/>
        <v>6994.2325750618</v>
      </c>
      <c r="Q110" s="149">
        <f t="shared" si="59"/>
        <v>7083.50540603488</v>
      </c>
      <c r="R110" s="149">
        <f t="shared" si="59"/>
        <v>8027.6214359393</v>
      </c>
      <c r="S110" s="149">
        <f t="shared" si="59"/>
        <v>9157.70919154694</v>
      </c>
    </row>
    <row r="111" s="150" customFormat="1" ht="10.5" spans="2:19">
      <c r="B111" s="150">
        <v>5.47</v>
      </c>
      <c r="C111" s="150" t="s">
        <v>396</v>
      </c>
      <c r="D111" s="173">
        <f>IRR(E111:S111)</f>
        <v>0.0546711136226408</v>
      </c>
      <c r="E111" s="149">
        <f>E107+E108+E109-E110</f>
        <v>-319129.944905213</v>
      </c>
      <c r="F111" s="149">
        <f t="shared" ref="F111:S111" si="60">F107+F108+F109-F110</f>
        <v>-264027.613590841</v>
      </c>
      <c r="G111" s="149">
        <f t="shared" si="60"/>
        <v>-252960.626599268</v>
      </c>
      <c r="H111" s="149">
        <f t="shared" si="60"/>
        <v>-114866.614576095</v>
      </c>
      <c r="I111" s="149">
        <f t="shared" si="60"/>
        <v>45469.1453878958</v>
      </c>
      <c r="J111" s="149">
        <f t="shared" si="60"/>
        <v>153617.988965923</v>
      </c>
      <c r="K111" s="149">
        <f t="shared" si="60"/>
        <v>154321.723003231</v>
      </c>
      <c r="L111" s="149">
        <f t="shared" si="60"/>
        <v>153441.700820269</v>
      </c>
      <c r="M111" s="149">
        <f t="shared" si="60"/>
        <v>153181.367259024</v>
      </c>
      <c r="N111" s="149">
        <f t="shared" si="60"/>
        <v>153236.455547376</v>
      </c>
      <c r="O111" s="149">
        <f t="shared" si="60"/>
        <v>153350.227717873</v>
      </c>
      <c r="P111" s="149">
        <f t="shared" si="60"/>
        <v>152791.625887423</v>
      </c>
      <c r="Q111" s="149">
        <f t="shared" si="60"/>
        <v>152732.95766109</v>
      </c>
      <c r="R111" s="149">
        <f t="shared" si="60"/>
        <v>152005.827681747</v>
      </c>
      <c r="S111" s="149">
        <f t="shared" si="60"/>
        <v>-9157.70919154694</v>
      </c>
    </row>
    <row r="112" s="150" customFormat="1" ht="10.5" spans="2:19">
      <c r="B112" s="150">
        <v>4.69</v>
      </c>
      <c r="C112" s="150" t="s">
        <v>397</v>
      </c>
      <c r="D112" s="173">
        <f>IRR(E112:S112)</f>
        <v>0.0468326532995087</v>
      </c>
      <c r="E112" s="149">
        <f>E111-E61</f>
        <v>-319129.944905213</v>
      </c>
      <c r="F112" s="149">
        <f t="shared" ref="F112:S112" si="61">F111-F61</f>
        <v>-264027.613590841</v>
      </c>
      <c r="G112" s="149">
        <f t="shared" si="61"/>
        <v>-252960.626599268</v>
      </c>
      <c r="H112" s="149">
        <f t="shared" si="61"/>
        <v>-114866.614576095</v>
      </c>
      <c r="I112" s="149">
        <f t="shared" si="61"/>
        <v>45469.1453878958</v>
      </c>
      <c r="J112" s="149">
        <f t="shared" si="61"/>
        <v>145820.381599215</v>
      </c>
      <c r="K112" s="149">
        <f t="shared" si="61"/>
        <v>146525.714264311</v>
      </c>
      <c r="L112" s="149">
        <f t="shared" si="61"/>
        <v>145636.61728159</v>
      </c>
      <c r="M112" s="149">
        <f t="shared" si="61"/>
        <v>145373.701733695</v>
      </c>
      <c r="N112" s="149">
        <f t="shared" si="61"/>
        <v>145429.184163971</v>
      </c>
      <c r="O112" s="149">
        <f t="shared" si="61"/>
        <v>145540.739956595</v>
      </c>
      <c r="P112" s="149">
        <f t="shared" si="61"/>
        <v>144980.182758515</v>
      </c>
      <c r="Q112" s="149">
        <f t="shared" si="61"/>
        <v>144938.302923254</v>
      </c>
      <c r="R112" s="149">
        <f t="shared" si="61"/>
        <v>144445.399621781</v>
      </c>
      <c r="S112" s="149">
        <f t="shared" si="61"/>
        <v>-16719.1801757029</v>
      </c>
    </row>
    <row r="113" s="150" customFormat="1" ht="10.5" spans="5:19">
      <c r="E113" s="149">
        <f>E111</f>
        <v>-319129.944905213</v>
      </c>
      <c r="F113" s="149">
        <f>E113+F111</f>
        <v>-583157.558496054</v>
      </c>
      <c r="G113" s="149">
        <f t="shared" ref="G113:S113" si="62">F113+G111</f>
        <v>-836118.185095322</v>
      </c>
      <c r="H113" s="149">
        <f t="shared" si="62"/>
        <v>-950984.799671416</v>
      </c>
      <c r="I113" s="149">
        <f t="shared" si="62"/>
        <v>-905515.654283521</v>
      </c>
      <c r="J113" s="149">
        <f t="shared" si="62"/>
        <v>-751897.665317597</v>
      </c>
      <c r="K113" s="149">
        <f t="shared" si="62"/>
        <v>-597575.942314366</v>
      </c>
      <c r="L113" s="149">
        <f t="shared" si="62"/>
        <v>-444134.241494097</v>
      </c>
      <c r="M113" s="149">
        <f t="shared" si="62"/>
        <v>-290952.874235072</v>
      </c>
      <c r="N113" s="149">
        <f t="shared" si="62"/>
        <v>-137716.418687696</v>
      </c>
      <c r="O113" s="149">
        <f t="shared" si="62"/>
        <v>15633.8090301775</v>
      </c>
      <c r="P113" s="149">
        <f t="shared" si="62"/>
        <v>168425.434917601</v>
      </c>
      <c r="Q113" s="149">
        <f t="shared" si="62"/>
        <v>321158.392578691</v>
      </c>
      <c r="R113" s="149">
        <f t="shared" si="62"/>
        <v>473164.220260438</v>
      </c>
      <c r="S113" s="149">
        <f t="shared" si="62"/>
        <v>464006.511068891</v>
      </c>
    </row>
    <row r="114" s="150" customFormat="1" ht="10.5" spans="5:19">
      <c r="E114" s="149">
        <f>E112</f>
        <v>-319129.944905213</v>
      </c>
      <c r="F114" s="149">
        <f>E114+F112</f>
        <v>-583157.558496054</v>
      </c>
      <c r="G114" s="149">
        <f t="shared" ref="G114:S114" si="63">F114+G112</f>
        <v>-836118.185095322</v>
      </c>
      <c r="H114" s="149">
        <f t="shared" si="63"/>
        <v>-950984.799671416</v>
      </c>
      <c r="I114" s="149">
        <f t="shared" si="63"/>
        <v>-905515.654283521</v>
      </c>
      <c r="J114" s="149">
        <f t="shared" si="63"/>
        <v>-759695.272684305</v>
      </c>
      <c r="K114" s="149">
        <f t="shared" si="63"/>
        <v>-613169.558419994</v>
      </c>
      <c r="L114" s="149">
        <f t="shared" si="63"/>
        <v>-467532.941138404</v>
      </c>
      <c r="M114" s="149">
        <f t="shared" si="63"/>
        <v>-322159.239404709</v>
      </c>
      <c r="N114" s="149">
        <f t="shared" si="63"/>
        <v>-176730.055240738</v>
      </c>
      <c r="O114" s="149">
        <f t="shared" si="63"/>
        <v>-31189.3152841423</v>
      </c>
      <c r="P114" s="149">
        <f t="shared" si="63"/>
        <v>113790.867474372</v>
      </c>
      <c r="Q114" s="149">
        <f t="shared" si="63"/>
        <v>258729.170397626</v>
      </c>
      <c r="R114" s="149">
        <f t="shared" si="63"/>
        <v>403174.570019407</v>
      </c>
      <c r="S114" s="149">
        <f t="shared" si="63"/>
        <v>386455.389843705</v>
      </c>
    </row>
    <row r="115" spans="14:14">
      <c r="N115" s="109">
        <f>10+ABS(N113/O112)</f>
        <v>10.9462396489723</v>
      </c>
    </row>
    <row r="116" spans="15:15">
      <c r="O116" s="109">
        <f>11+ABS(O114/P112)</f>
        <v>11.2151281277945</v>
      </c>
    </row>
  </sheetData>
  <mergeCells count="56">
    <mergeCell ref="A1:S1"/>
    <mergeCell ref="E2:I2"/>
    <mergeCell ref="J2:S2"/>
    <mergeCell ref="A73:E73"/>
    <mergeCell ref="A74:D74"/>
    <mergeCell ref="A75:D75"/>
    <mergeCell ref="A76:D76"/>
    <mergeCell ref="A77:D77"/>
    <mergeCell ref="A78:D78"/>
    <mergeCell ref="A79:D79"/>
    <mergeCell ref="A80:D80"/>
    <mergeCell ref="A95:D95"/>
    <mergeCell ref="A96:D96"/>
    <mergeCell ref="A97:D97"/>
    <mergeCell ref="A98:D98"/>
    <mergeCell ref="A99:D99"/>
    <mergeCell ref="A100:D100"/>
    <mergeCell ref="A101:D101"/>
    <mergeCell ref="A2:A4"/>
    <mergeCell ref="A5:A8"/>
    <mergeCell ref="A9:A12"/>
    <mergeCell ref="A13:A16"/>
    <mergeCell ref="A17:A20"/>
    <mergeCell ref="A21:A24"/>
    <mergeCell ref="A25:A28"/>
    <mergeCell ref="A29:A32"/>
    <mergeCell ref="A33:A36"/>
    <mergeCell ref="A37:A40"/>
    <mergeCell ref="A41:A44"/>
    <mergeCell ref="A45:A48"/>
    <mergeCell ref="A49:A52"/>
    <mergeCell ref="A53:A56"/>
    <mergeCell ref="A57:A60"/>
    <mergeCell ref="A61:A64"/>
    <mergeCell ref="A65:A68"/>
    <mergeCell ref="A69:A72"/>
    <mergeCell ref="B2:B4"/>
    <mergeCell ref="B5:B8"/>
    <mergeCell ref="B9:B12"/>
    <mergeCell ref="B13:B16"/>
    <mergeCell ref="B17:B20"/>
    <mergeCell ref="B21:B24"/>
    <mergeCell ref="B25:B28"/>
    <mergeCell ref="B29:B32"/>
    <mergeCell ref="B33:B36"/>
    <mergeCell ref="B37:B40"/>
    <mergeCell ref="B41:B44"/>
    <mergeCell ref="B45:B48"/>
    <mergeCell ref="B49:B52"/>
    <mergeCell ref="B53:B56"/>
    <mergeCell ref="B57:B60"/>
    <mergeCell ref="B61:B64"/>
    <mergeCell ref="B65:B68"/>
    <mergeCell ref="B69:B72"/>
    <mergeCell ref="C2:C4"/>
    <mergeCell ref="D2:D4"/>
  </mergeCells>
  <pageMargins left="0.707638888888889" right="0.707638888888889" top="0.747916666666667" bottom="0.747916666666667" header="0.313888888888889" footer="0.313888888888889"/>
  <pageSetup paperSize="9"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70C0"/>
  </sheetPr>
  <dimension ref="A1:XFD90"/>
  <sheetViews>
    <sheetView topLeftCell="H1" workbookViewId="0">
      <pane ySplit="4" topLeftCell="A5" activePane="bottomLeft" state="frozen"/>
      <selection/>
      <selection pane="bottomLeft" activeCell="U91" sqref="U91"/>
    </sheetView>
  </sheetViews>
  <sheetFormatPr defaultColWidth="9" defaultRowHeight="14.25"/>
  <cols>
    <col min="1" max="1" width="4.375" style="109" customWidth="1"/>
    <col min="2" max="3" width="15.75" style="109" customWidth="1"/>
    <col min="4" max="4" width="11.375" style="109" customWidth="1"/>
    <col min="5" max="5" width="9.25" style="109" customWidth="1"/>
    <col min="6" max="6" width="9.875" style="109" customWidth="1"/>
    <col min="7" max="7" width="9.625" style="109" customWidth="1"/>
    <col min="8" max="8" width="10" style="109" customWidth="1"/>
    <col min="9" max="13" width="10.375" style="109" customWidth="1"/>
    <col min="14" max="14" width="9.375" style="109" customWidth="1"/>
    <col min="15" max="19" width="9.75" style="109" customWidth="1"/>
    <col min="20" max="16384" width="9" style="109"/>
  </cols>
  <sheetData>
    <row r="1" ht="25.5" customHeight="1" spans="1:19">
      <c r="A1" s="110" t="s">
        <v>398</v>
      </c>
      <c r="B1" s="110"/>
      <c r="C1" s="110"/>
      <c r="D1" s="110"/>
      <c r="E1" s="110"/>
      <c r="F1" s="110"/>
      <c r="G1" s="110"/>
      <c r="H1" s="110"/>
      <c r="I1" s="110"/>
      <c r="J1" s="110"/>
      <c r="K1" s="110"/>
      <c r="L1" s="110"/>
      <c r="M1" s="110"/>
      <c r="N1" s="110"/>
      <c r="O1" s="110"/>
      <c r="P1" s="110"/>
      <c r="Q1" s="110"/>
      <c r="R1" s="110"/>
      <c r="S1" s="110"/>
    </row>
    <row r="2" spans="1:19">
      <c r="A2" s="111" t="s">
        <v>1</v>
      </c>
      <c r="B2" s="111" t="s">
        <v>2</v>
      </c>
      <c r="C2" s="112" t="s">
        <v>3</v>
      </c>
      <c r="D2" s="111" t="s">
        <v>4</v>
      </c>
      <c r="E2" s="113" t="s">
        <v>5</v>
      </c>
      <c r="F2" s="113"/>
      <c r="G2" s="113"/>
      <c r="H2" s="113"/>
      <c r="I2" s="113"/>
      <c r="J2" s="113" t="s">
        <v>43</v>
      </c>
      <c r="K2" s="113"/>
      <c r="L2" s="113"/>
      <c r="M2" s="113"/>
      <c r="N2" s="113"/>
      <c r="O2" s="113"/>
      <c r="P2" s="113"/>
      <c r="Q2" s="113"/>
      <c r="R2" s="113"/>
      <c r="S2" s="113"/>
    </row>
    <row r="3" spans="1:19">
      <c r="A3" s="111"/>
      <c r="B3" s="111"/>
      <c r="C3" s="114"/>
      <c r="D3" s="111"/>
      <c r="E3" s="115" t="s">
        <v>6</v>
      </c>
      <c r="F3" s="115" t="s">
        <v>7</v>
      </c>
      <c r="G3" s="115" t="s">
        <v>8</v>
      </c>
      <c r="H3" s="115" t="s">
        <v>9</v>
      </c>
      <c r="I3" s="115" t="s">
        <v>10</v>
      </c>
      <c r="J3" s="115" t="s">
        <v>235</v>
      </c>
      <c r="K3" s="115" t="s">
        <v>236</v>
      </c>
      <c r="L3" s="115" t="s">
        <v>237</v>
      </c>
      <c r="M3" s="115" t="s">
        <v>238</v>
      </c>
      <c r="N3" s="115" t="s">
        <v>239</v>
      </c>
      <c r="O3" s="115" t="s">
        <v>240</v>
      </c>
      <c r="P3" s="115" t="s">
        <v>241</v>
      </c>
      <c r="Q3" s="115" t="s">
        <v>242</v>
      </c>
      <c r="R3" s="115" t="s">
        <v>243</v>
      </c>
      <c r="S3" s="115" t="s">
        <v>244</v>
      </c>
    </row>
    <row r="4" spans="1:19">
      <c r="A4" s="111"/>
      <c r="B4" s="111"/>
      <c r="C4" s="116"/>
      <c r="D4" s="111"/>
      <c r="E4" s="115">
        <v>1</v>
      </c>
      <c r="F4" s="115">
        <v>2</v>
      </c>
      <c r="G4" s="115">
        <v>3</v>
      </c>
      <c r="H4" s="115">
        <v>4</v>
      </c>
      <c r="I4" s="115">
        <v>5</v>
      </c>
      <c r="J4" s="115">
        <v>6</v>
      </c>
      <c r="K4" s="115">
        <v>7</v>
      </c>
      <c r="L4" s="115">
        <v>8</v>
      </c>
      <c r="M4" s="115">
        <v>9</v>
      </c>
      <c r="N4" s="115">
        <v>10</v>
      </c>
      <c r="O4" s="115">
        <v>11</v>
      </c>
      <c r="P4" s="115">
        <v>12</v>
      </c>
      <c r="Q4" s="115">
        <v>13</v>
      </c>
      <c r="R4" s="115">
        <v>14</v>
      </c>
      <c r="S4" s="115">
        <v>15</v>
      </c>
    </row>
    <row r="5" ht="19.5" customHeight="1" spans="1:19">
      <c r="A5" s="117">
        <v>1</v>
      </c>
      <c r="B5" s="118" t="s">
        <v>370</v>
      </c>
      <c r="C5" s="119" t="s">
        <v>4</v>
      </c>
      <c r="D5" s="120">
        <f>SUM(E5:S5)</f>
        <v>1719924.73686932</v>
      </c>
      <c r="E5" s="120">
        <f>E9+E13+E17+E21</f>
        <v>6379.99481858648</v>
      </c>
      <c r="F5" s="120">
        <f t="shared" ref="F5:S5" si="0">F9+F13+F17+F21</f>
        <v>18293.4831329594</v>
      </c>
      <c r="G5" s="120">
        <f t="shared" si="0"/>
        <v>29360.4701245324</v>
      </c>
      <c r="H5" s="120">
        <f t="shared" si="0"/>
        <v>37887.9531477054</v>
      </c>
      <c r="I5" s="120">
        <f t="shared" si="0"/>
        <v>42837.5626383684</v>
      </c>
      <c r="J5" s="120">
        <f t="shared" si="0"/>
        <v>155386.150473327</v>
      </c>
      <c r="K5" s="120">
        <f t="shared" si="0"/>
        <v>156212.513551827</v>
      </c>
      <c r="L5" s="120">
        <f t="shared" si="0"/>
        <v>157742.610667635</v>
      </c>
      <c r="M5" s="120">
        <f t="shared" si="0"/>
        <v>158392.685600481</v>
      </c>
      <c r="N5" s="120">
        <f t="shared" si="0"/>
        <v>158782.426972082</v>
      </c>
      <c r="O5" s="120">
        <f t="shared" si="0"/>
        <v>159227.256632035</v>
      </c>
      <c r="P5" s="120">
        <f t="shared" si="0"/>
        <v>159785.858462485</v>
      </c>
      <c r="Q5" s="120">
        <f t="shared" si="0"/>
        <v>159785.858462485</v>
      </c>
      <c r="R5" s="120">
        <f t="shared" si="0"/>
        <v>159816.463067125</v>
      </c>
      <c r="S5" s="120">
        <f t="shared" si="0"/>
        <v>160033.449117686</v>
      </c>
    </row>
    <row r="6" ht="19.5" customHeight="1" spans="1:19">
      <c r="A6" s="121"/>
      <c r="B6" s="122"/>
      <c r="C6" s="123" t="s">
        <v>13</v>
      </c>
      <c r="D6" s="120">
        <f t="shared" ref="D6:D9" si="1">SUM(E6:S6)</f>
        <v>448968.412125458</v>
      </c>
      <c r="E6" s="120">
        <f t="shared" ref="E6:S6" si="2">E10+E14+E18+E22</f>
        <v>1525.90647468112</v>
      </c>
      <c r="F6" s="120">
        <f t="shared" si="2"/>
        <v>4429.73826764336</v>
      </c>
      <c r="G6" s="120">
        <f t="shared" si="2"/>
        <v>7185.5889042056</v>
      </c>
      <c r="H6" s="120">
        <f t="shared" si="2"/>
        <v>9497.49607156784</v>
      </c>
      <c r="I6" s="120">
        <f t="shared" si="2"/>
        <v>11365.4597697301</v>
      </c>
      <c r="J6" s="120">
        <f t="shared" si="2"/>
        <v>40711.2188105998</v>
      </c>
      <c r="K6" s="120">
        <f t="shared" si="2"/>
        <v>40888.3700775998</v>
      </c>
      <c r="L6" s="120">
        <f t="shared" si="2"/>
        <v>41301.7834517998</v>
      </c>
      <c r="M6" s="120">
        <f t="shared" si="2"/>
        <v>41439.4775033598</v>
      </c>
      <c r="N6" s="120">
        <f t="shared" si="2"/>
        <v>41541.4928521598</v>
      </c>
      <c r="O6" s="120">
        <f t="shared" si="2"/>
        <v>41698.5964893118</v>
      </c>
      <c r="P6" s="120">
        <f t="shared" si="2"/>
        <v>41824.5721104198</v>
      </c>
      <c r="Q6" s="120">
        <f t="shared" si="2"/>
        <v>41824.5721104198</v>
      </c>
      <c r="R6" s="120">
        <f t="shared" si="2"/>
        <v>41855.1767150598</v>
      </c>
      <c r="S6" s="120">
        <f t="shared" si="2"/>
        <v>41878.9625168998</v>
      </c>
    </row>
    <row r="7" ht="19.5" customHeight="1" spans="1:19">
      <c r="A7" s="121"/>
      <c r="B7" s="122"/>
      <c r="C7" s="123" t="s">
        <v>14</v>
      </c>
      <c r="D7" s="120">
        <f t="shared" si="1"/>
        <v>340583.10231283</v>
      </c>
      <c r="E7" s="120">
        <f t="shared" ref="E7:S7" si="3">E11+E15+E19+E23</f>
        <v>1342.65596765496</v>
      </c>
      <c r="F7" s="120">
        <f t="shared" si="3"/>
        <v>3822.10010656488</v>
      </c>
      <c r="G7" s="120">
        <f t="shared" si="3"/>
        <v>6095.6764490748</v>
      </c>
      <c r="H7" s="120">
        <f t="shared" si="3"/>
        <v>7751.64940238472</v>
      </c>
      <c r="I7" s="120">
        <f t="shared" si="3"/>
        <v>7751.64940238472</v>
      </c>
      <c r="J7" s="120">
        <f t="shared" si="3"/>
        <v>30868.8877477667</v>
      </c>
      <c r="K7" s="120">
        <f t="shared" si="3"/>
        <v>31044.4411817667</v>
      </c>
      <c r="L7" s="120">
        <f t="shared" si="3"/>
        <v>31263.8335267747</v>
      </c>
      <c r="M7" s="120">
        <f t="shared" si="3"/>
        <v>31374.7411411325</v>
      </c>
      <c r="N7" s="120">
        <f t="shared" si="3"/>
        <v>31430.6475278396</v>
      </c>
      <c r="O7" s="120">
        <f t="shared" si="3"/>
        <v>31486.5539145467</v>
      </c>
      <c r="P7" s="120">
        <f t="shared" si="3"/>
        <v>31576.2899399895</v>
      </c>
      <c r="Q7" s="120">
        <f t="shared" si="3"/>
        <v>31576.2899399895</v>
      </c>
      <c r="R7" s="120">
        <f t="shared" si="3"/>
        <v>31576.2899399895</v>
      </c>
      <c r="S7" s="120">
        <f t="shared" si="3"/>
        <v>31621.3961249703</v>
      </c>
    </row>
    <row r="8" ht="19.5" customHeight="1" spans="1:19">
      <c r="A8" s="124"/>
      <c r="B8" s="125"/>
      <c r="C8" s="123" t="s">
        <v>15</v>
      </c>
      <c r="D8" s="120">
        <f t="shared" si="1"/>
        <v>930373.222431035</v>
      </c>
      <c r="E8" s="120">
        <f t="shared" ref="E8:S8" si="4">E12+E16+E20+E24</f>
        <v>3511.4323762504</v>
      </c>
      <c r="F8" s="120">
        <f t="shared" si="4"/>
        <v>10041.6447587512</v>
      </c>
      <c r="G8" s="120">
        <f t="shared" si="4"/>
        <v>16079.204771252</v>
      </c>
      <c r="H8" s="120">
        <f t="shared" si="4"/>
        <v>20638.8076737528</v>
      </c>
      <c r="I8" s="120">
        <f t="shared" si="4"/>
        <v>23720.4534662536</v>
      </c>
      <c r="J8" s="120">
        <f t="shared" si="4"/>
        <v>83806.0439149609</v>
      </c>
      <c r="K8" s="120">
        <f t="shared" si="4"/>
        <v>84279.7022924609</v>
      </c>
      <c r="L8" s="120">
        <f t="shared" si="4"/>
        <v>85176.9936890609</v>
      </c>
      <c r="M8" s="120">
        <f t="shared" si="4"/>
        <v>85578.4669559889</v>
      </c>
      <c r="N8" s="120">
        <f t="shared" si="4"/>
        <v>85810.2865920829</v>
      </c>
      <c r="O8" s="120">
        <f t="shared" si="4"/>
        <v>86042.1062281769</v>
      </c>
      <c r="P8" s="120">
        <f t="shared" si="4"/>
        <v>86384.9964120759</v>
      </c>
      <c r="Q8" s="120">
        <f t="shared" si="4"/>
        <v>86384.9964120759</v>
      </c>
      <c r="R8" s="120">
        <f t="shared" si="4"/>
        <v>86384.9964120759</v>
      </c>
      <c r="S8" s="120">
        <f t="shared" si="4"/>
        <v>86533.0904758159</v>
      </c>
    </row>
    <row r="9" ht="15" customHeight="1" spans="1:19">
      <c r="A9" s="117">
        <v>1.1</v>
      </c>
      <c r="B9" s="118" t="s">
        <v>48</v>
      </c>
      <c r="C9" s="119" t="s">
        <v>4</v>
      </c>
      <c r="D9" s="120">
        <f t="shared" si="1"/>
        <v>28308.916</v>
      </c>
      <c r="E9" s="120">
        <f>SUM(E10:E12)</f>
        <v>0</v>
      </c>
      <c r="F9" s="120">
        <f t="shared" ref="F9:S9" si="5">SUM(F10:F12)</f>
        <v>0</v>
      </c>
      <c r="G9" s="120">
        <f t="shared" si="5"/>
        <v>0</v>
      </c>
      <c r="H9" s="120">
        <f t="shared" si="5"/>
        <v>0</v>
      </c>
      <c r="I9" s="120">
        <f t="shared" si="5"/>
        <v>0</v>
      </c>
      <c r="J9" s="120">
        <f t="shared" si="5"/>
        <v>1679.89496</v>
      </c>
      <c r="K9" s="120">
        <f t="shared" si="5"/>
        <v>1866.29496</v>
      </c>
      <c r="L9" s="120">
        <f t="shared" si="5"/>
        <v>2301.99328</v>
      </c>
      <c r="M9" s="120">
        <f t="shared" si="5"/>
        <v>2488.39328</v>
      </c>
      <c r="N9" s="120">
        <f t="shared" si="5"/>
        <v>2924.0916</v>
      </c>
      <c r="O9" s="120">
        <f t="shared" si="5"/>
        <v>3110.4916</v>
      </c>
      <c r="P9" s="120">
        <f t="shared" si="5"/>
        <v>3359.78992</v>
      </c>
      <c r="Q9" s="120">
        <f t="shared" si="5"/>
        <v>3359.78992</v>
      </c>
      <c r="R9" s="120">
        <f t="shared" si="5"/>
        <v>3609.08824</v>
      </c>
      <c r="S9" s="120">
        <f t="shared" si="5"/>
        <v>3609.08824</v>
      </c>
    </row>
    <row r="10" ht="15" customHeight="1" spans="1:19">
      <c r="A10" s="121"/>
      <c r="B10" s="122"/>
      <c r="C10" s="123" t="s">
        <v>13</v>
      </c>
      <c r="D10" s="120"/>
      <c r="E10" s="120"/>
      <c r="F10" s="120"/>
      <c r="G10" s="120"/>
      <c r="H10" s="120"/>
      <c r="I10" s="120"/>
      <c r="J10" s="120">
        <f>项目投资现金流量表!J18</f>
        <v>282.8844</v>
      </c>
      <c r="K10" s="120">
        <f>项目投资现金流量表!K18</f>
        <v>322.4844</v>
      </c>
      <c r="L10" s="120">
        <f>项目投资现金流量表!L18</f>
        <v>390.3792</v>
      </c>
      <c r="M10" s="120">
        <f>项目投资现金流量表!M18</f>
        <v>429.9792</v>
      </c>
      <c r="N10" s="120">
        <f>项目投资现金流量表!N18</f>
        <v>497.874</v>
      </c>
      <c r="O10" s="120">
        <f>项目投资现金流量表!O18</f>
        <v>537.474</v>
      </c>
      <c r="P10" s="120">
        <f>项目投资现金流量表!P18</f>
        <v>565.7688</v>
      </c>
      <c r="Q10" s="120">
        <f>项目投资现金流量表!Q18</f>
        <v>565.7688</v>
      </c>
      <c r="R10" s="120">
        <f>项目投资现金流量表!R18</f>
        <v>594.0636</v>
      </c>
      <c r="S10" s="120">
        <f>项目投资现金流量表!S18</f>
        <v>594.0636</v>
      </c>
    </row>
    <row r="11" ht="15" customHeight="1" spans="1:19">
      <c r="A11" s="121"/>
      <c r="B11" s="122"/>
      <c r="C11" s="123" t="s">
        <v>14</v>
      </c>
      <c r="D11" s="120"/>
      <c r="E11" s="120"/>
      <c r="F11" s="120"/>
      <c r="G11" s="120"/>
      <c r="H11" s="120"/>
      <c r="I11" s="120"/>
      <c r="J11" s="120">
        <f>项目投资现金流量表!J19</f>
        <v>331.15496</v>
      </c>
      <c r="K11" s="120">
        <f>项目投资现金流量表!K19</f>
        <v>362.75496</v>
      </c>
      <c r="L11" s="120">
        <f>项目投资现金流量表!L19</f>
        <v>452.07328</v>
      </c>
      <c r="M11" s="120">
        <f>项目投资现金流量表!M19</f>
        <v>483.67328</v>
      </c>
      <c r="N11" s="120">
        <f>项目投资现金流量表!N19</f>
        <v>572.9916</v>
      </c>
      <c r="O11" s="120">
        <f>项目投资现金流量表!O19</f>
        <v>604.5916</v>
      </c>
      <c r="P11" s="120">
        <f>项目投资现金流量表!P19</f>
        <v>662.30992</v>
      </c>
      <c r="Q11" s="120">
        <f>项目投资现金流量表!Q19</f>
        <v>662.30992</v>
      </c>
      <c r="R11" s="120">
        <f>项目投资现金流量表!R19</f>
        <v>720.02824</v>
      </c>
      <c r="S11" s="120">
        <f>项目投资现金流量表!S19</f>
        <v>720.02824</v>
      </c>
    </row>
    <row r="12" ht="15" customHeight="1" spans="1:19">
      <c r="A12" s="124"/>
      <c r="B12" s="125"/>
      <c r="C12" s="123" t="s">
        <v>15</v>
      </c>
      <c r="D12" s="120"/>
      <c r="E12" s="120"/>
      <c r="F12" s="120"/>
      <c r="G12" s="120"/>
      <c r="H12" s="120"/>
      <c r="I12" s="120"/>
      <c r="J12" s="120">
        <f>项目投资现金流量表!J20</f>
        <v>1065.8556</v>
      </c>
      <c r="K12" s="120">
        <f>项目投资现金流量表!K20</f>
        <v>1181.0556</v>
      </c>
      <c r="L12" s="120">
        <f>项目投资现金流量表!L20</f>
        <v>1459.5408</v>
      </c>
      <c r="M12" s="120">
        <f>项目投资现金流量表!M20</f>
        <v>1574.7408</v>
      </c>
      <c r="N12" s="120">
        <f>项目投资现金流量表!N20</f>
        <v>1853.226</v>
      </c>
      <c r="O12" s="120">
        <f>项目投资现金流量表!O20</f>
        <v>1968.426</v>
      </c>
      <c r="P12" s="120">
        <f>项目投资现金流量表!P20</f>
        <v>2131.7112</v>
      </c>
      <c r="Q12" s="120">
        <f>项目投资现金流量表!Q20</f>
        <v>2131.7112</v>
      </c>
      <c r="R12" s="120">
        <f>项目投资现金流量表!R20</f>
        <v>2294.9964</v>
      </c>
      <c r="S12" s="120">
        <f>项目投资现金流量表!S20</f>
        <v>2294.9964</v>
      </c>
    </row>
    <row r="13" ht="21.75" customHeight="1" spans="1:19">
      <c r="A13" s="117">
        <v>1.2</v>
      </c>
      <c r="B13" s="118" t="s">
        <v>399</v>
      </c>
      <c r="C13" s="119" t="s">
        <v>4</v>
      </c>
      <c r="D13" s="120">
        <f>SUM(E13:S13)</f>
        <v>1691615.82086932</v>
      </c>
      <c r="E13" s="120">
        <f>'建设期付息政府付费用估算表 '!E9</f>
        <v>6379.99481858648</v>
      </c>
      <c r="F13" s="120">
        <f>'建设期付息政府付费用估算表 '!F9</f>
        <v>18293.4831329594</v>
      </c>
      <c r="G13" s="120">
        <f>'建设期付息政府付费用估算表 '!G9</f>
        <v>29360.4701245324</v>
      </c>
      <c r="H13" s="120">
        <f>'建设期付息政府付费用估算表 '!H9</f>
        <v>37887.9531477054</v>
      </c>
      <c r="I13" s="120">
        <f>'建设期付息政府付费用估算表 '!I9</f>
        <v>42837.5626383684</v>
      </c>
      <c r="J13" s="120">
        <f>'建设期付息政府付费用估算表 '!J9</f>
        <v>153706.255513327</v>
      </c>
      <c r="K13" s="120">
        <f>'建设期付息政府付费用估算表 '!K9</f>
        <v>154346.218591827</v>
      </c>
      <c r="L13" s="120">
        <f>'建设期付息政府付费用估算表 '!L9</f>
        <v>155440.617387635</v>
      </c>
      <c r="M13" s="120">
        <f>'建设期付息政府付费用估算表 '!M9</f>
        <v>155904.292320481</v>
      </c>
      <c r="N13" s="120">
        <f>'建设期付息政府付费用估算表 '!N9</f>
        <v>155858.335372082</v>
      </c>
      <c r="O13" s="120">
        <f>'建设期付息政府付费用估算表 '!O9</f>
        <v>156116.765032035</v>
      </c>
      <c r="P13" s="120">
        <f>'建设期付息政府付费用估算表 '!P9</f>
        <v>156426.068542485</v>
      </c>
      <c r="Q13" s="120">
        <f>'建设期付息政府付费用估算表 '!Q9</f>
        <v>156426.068542485</v>
      </c>
      <c r="R13" s="120">
        <f>'建设期付息政府付费用估算表 '!R9</f>
        <v>156207.374827125</v>
      </c>
      <c r="S13" s="120">
        <f>'建设期付息政府付费用估算表 '!S9</f>
        <v>156424.360877686</v>
      </c>
    </row>
    <row r="14" ht="21.75" customHeight="1" spans="1:19">
      <c r="A14" s="121"/>
      <c r="B14" s="122"/>
      <c r="C14" s="123" t="s">
        <v>13</v>
      </c>
      <c r="D14" s="120">
        <f>SUM(E14:S14)</f>
        <v>444187.672125458</v>
      </c>
      <c r="E14" s="120">
        <f>'建设期付息政府付费用估算表 '!E10</f>
        <v>1525.90647468112</v>
      </c>
      <c r="F14" s="120">
        <f>'建设期付息政府付费用估算表 '!F10</f>
        <v>4429.73826764336</v>
      </c>
      <c r="G14" s="120">
        <f>'建设期付息政府付费用估算表 '!G10</f>
        <v>7185.5889042056</v>
      </c>
      <c r="H14" s="120">
        <f>'建设期付息政府付费用估算表 '!H10</f>
        <v>9497.49607156784</v>
      </c>
      <c r="I14" s="120">
        <f>'建设期付息政府付费用估算表 '!I10</f>
        <v>11365.4597697301</v>
      </c>
      <c r="J14" s="120">
        <f>'建设期付息政府付费用估算表 '!J10</f>
        <v>40428.3344105998</v>
      </c>
      <c r="K14" s="120">
        <f>'建设期付息政府付费用估算表 '!K10</f>
        <v>40565.8856775998</v>
      </c>
      <c r="L14" s="120">
        <f>'建设期付息政府付费用估算表 '!L10</f>
        <v>40911.4042517998</v>
      </c>
      <c r="M14" s="120">
        <f>'建设期付息政府付费用估算表 '!M10</f>
        <v>41009.4983033598</v>
      </c>
      <c r="N14" s="120">
        <f>'建设期付息政府付费用估算表 '!N10</f>
        <v>41043.6188521598</v>
      </c>
      <c r="O14" s="120">
        <f>'建设期付息政府付费用估算表 '!O10</f>
        <v>41161.1224893118</v>
      </c>
      <c r="P14" s="120">
        <f>'建设期付息政府付费用估算表 '!P10</f>
        <v>41258.8033104198</v>
      </c>
      <c r="Q14" s="120">
        <f>'建设期付息政府付费用估算表 '!Q10</f>
        <v>41258.8033104198</v>
      </c>
      <c r="R14" s="120">
        <f>'建设期付息政府付费用估算表 '!R10</f>
        <v>41261.1131150598</v>
      </c>
      <c r="S14" s="120">
        <f>'建设期付息政府付费用估算表 '!S10</f>
        <v>41284.8989168998</v>
      </c>
    </row>
    <row r="15" ht="21.75" customHeight="1" spans="1:19">
      <c r="A15" s="121"/>
      <c r="B15" s="122"/>
      <c r="C15" s="123" t="s">
        <v>14</v>
      </c>
      <c r="D15" s="120">
        <f t="shared" ref="D15:D17" si="6">SUM(E15:S15)</f>
        <v>335011.18631283</v>
      </c>
      <c r="E15" s="120">
        <f>'建设期付息政府付费用估算表 '!E11</f>
        <v>1342.65596765496</v>
      </c>
      <c r="F15" s="120">
        <f>'建设期付息政府付费用估算表 '!F11</f>
        <v>3822.10010656488</v>
      </c>
      <c r="G15" s="120">
        <f>'建设期付息政府付费用估算表 '!G11</f>
        <v>6095.6764490748</v>
      </c>
      <c r="H15" s="120">
        <f>'建设期付息政府付费用估算表 '!H11</f>
        <v>7751.64940238472</v>
      </c>
      <c r="I15" s="120">
        <f>'建设期付息政府付费用估算表 '!I11</f>
        <v>7751.64940238472</v>
      </c>
      <c r="J15" s="120">
        <f>'建设期付息政府付费用估算表 '!J11</f>
        <v>30537.7327877667</v>
      </c>
      <c r="K15" s="120">
        <f>'建设期付息政府付费用估算表 '!K11</f>
        <v>30681.6862217667</v>
      </c>
      <c r="L15" s="120">
        <f>'建设期付息政府付费用估算表 '!L11</f>
        <v>30811.7602467747</v>
      </c>
      <c r="M15" s="120">
        <f>'建设期付息政府付费用估算表 '!M11</f>
        <v>30891.0678611325</v>
      </c>
      <c r="N15" s="120">
        <f>'建设期付息政府付费用估算表 '!N11</f>
        <v>30857.6559278396</v>
      </c>
      <c r="O15" s="120">
        <f>'建设期付息政府付费用估算表 '!O11</f>
        <v>30881.9623145467</v>
      </c>
      <c r="P15" s="120">
        <f>'建设期付息政府付费用估算表 '!P11</f>
        <v>30913.9800199895</v>
      </c>
      <c r="Q15" s="120">
        <f>'建设期付息政府付费用估算表 '!Q11</f>
        <v>30913.9800199895</v>
      </c>
      <c r="R15" s="120">
        <f>'建设期付息政府付费用估算表 '!R11</f>
        <v>30856.2616999895</v>
      </c>
      <c r="S15" s="120">
        <f>'建设期付息政府付费用估算表 '!S11</f>
        <v>30901.3678849703</v>
      </c>
    </row>
    <row r="16" ht="21.75" customHeight="1" spans="1:19">
      <c r="A16" s="124"/>
      <c r="B16" s="125"/>
      <c r="C16" s="123" t="s">
        <v>15</v>
      </c>
      <c r="D16" s="120">
        <f t="shared" si="6"/>
        <v>912416.962431035</v>
      </c>
      <c r="E16" s="120">
        <f>'建设期付息政府付费用估算表 '!E12</f>
        <v>3511.4323762504</v>
      </c>
      <c r="F16" s="120">
        <f>'建设期付息政府付费用估算表 '!F12</f>
        <v>10041.6447587512</v>
      </c>
      <c r="G16" s="120">
        <f>'建设期付息政府付费用估算表 '!G12</f>
        <v>16079.204771252</v>
      </c>
      <c r="H16" s="120">
        <f>'建设期付息政府付费用估算表 '!H12</f>
        <v>20638.8076737528</v>
      </c>
      <c r="I16" s="120">
        <f>'建设期付息政府付费用估算表 '!I12</f>
        <v>23720.4534662536</v>
      </c>
      <c r="J16" s="120">
        <f>'建设期付息政府付费用估算表 '!J12</f>
        <v>82740.1883149609</v>
      </c>
      <c r="K16" s="120">
        <f>'建设期付息政府付费用估算表 '!K12</f>
        <v>83098.6466924609</v>
      </c>
      <c r="L16" s="120">
        <f>'建设期付息政府付费用估算表 '!L12</f>
        <v>83717.4528890609</v>
      </c>
      <c r="M16" s="120">
        <f>'建设期付息政府付费用估算表 '!M12</f>
        <v>84003.7261559889</v>
      </c>
      <c r="N16" s="120">
        <f>'建设期付息政府付费用估算表 '!N12</f>
        <v>83957.0605920829</v>
      </c>
      <c r="O16" s="120">
        <f>'建设期付息政府付费用估算表 '!O12</f>
        <v>84073.6802281769</v>
      </c>
      <c r="P16" s="120">
        <f>'建设期付息政府付费用估算表 '!P12</f>
        <v>84253.2852120759</v>
      </c>
      <c r="Q16" s="120">
        <f>'建设期付息政府付费用估算表 '!Q12</f>
        <v>84253.2852120759</v>
      </c>
      <c r="R16" s="120">
        <f>'建设期付息政府付费用估算表 '!R12</f>
        <v>84090.0000120759</v>
      </c>
      <c r="S16" s="120">
        <f>'建设期付息政府付费用估算表 '!S12</f>
        <v>84238.0940758159</v>
      </c>
    </row>
    <row r="17" ht="19.5" customHeight="1" spans="1:19">
      <c r="A17" s="117">
        <v>1.3</v>
      </c>
      <c r="B17" s="118" t="s">
        <v>400</v>
      </c>
      <c r="C17" s="119" t="s">
        <v>4</v>
      </c>
      <c r="D17" s="120">
        <f t="shared" si="6"/>
        <v>0</v>
      </c>
      <c r="E17" s="120">
        <f>SUM(E18:E20)</f>
        <v>0</v>
      </c>
      <c r="F17" s="120">
        <f t="shared" ref="F17" si="7">SUM(F18:F20)</f>
        <v>0</v>
      </c>
      <c r="G17" s="120">
        <f t="shared" ref="G17" si="8">SUM(G18:G20)</f>
        <v>0</v>
      </c>
      <c r="H17" s="120">
        <f t="shared" ref="H17" si="9">SUM(H18:H20)</f>
        <v>0</v>
      </c>
      <c r="I17" s="120">
        <f t="shared" ref="I17" si="10">SUM(I18:I20)</f>
        <v>0</v>
      </c>
      <c r="J17" s="120">
        <f t="shared" ref="J17" si="11">SUM(J18:J20)</f>
        <v>0</v>
      </c>
      <c r="K17" s="120">
        <f t="shared" ref="K17" si="12">SUM(K18:K20)</f>
        <v>0</v>
      </c>
      <c r="L17" s="120">
        <f t="shared" ref="L17" si="13">SUM(L18:L20)</f>
        <v>0</v>
      </c>
      <c r="M17" s="120">
        <f t="shared" ref="M17" si="14">SUM(M18:M20)</f>
        <v>0</v>
      </c>
      <c r="N17" s="120">
        <f t="shared" ref="N17" si="15">SUM(N18:N20)</f>
        <v>0</v>
      </c>
      <c r="O17" s="120">
        <f t="shared" ref="O17" si="16">SUM(O18:O20)</f>
        <v>0</v>
      </c>
      <c r="P17" s="120">
        <f t="shared" ref="P17" si="17">SUM(P18:P20)</f>
        <v>0</v>
      </c>
      <c r="Q17" s="120">
        <f t="shared" ref="Q17" si="18">SUM(Q18:Q20)</f>
        <v>0</v>
      </c>
      <c r="R17" s="120">
        <f t="shared" ref="R17" si="19">SUM(R18:R20)</f>
        <v>0</v>
      </c>
      <c r="S17" s="120">
        <f t="shared" ref="S17" si="20">SUM(S18:S20)</f>
        <v>0</v>
      </c>
    </row>
    <row r="18" ht="19.5" customHeight="1" spans="1:19">
      <c r="A18" s="121"/>
      <c r="B18" s="122"/>
      <c r="C18" s="123" t="s">
        <v>13</v>
      </c>
      <c r="D18" s="120"/>
      <c r="E18" s="120"/>
      <c r="F18" s="120"/>
      <c r="G18" s="120"/>
      <c r="H18" s="120"/>
      <c r="I18" s="120"/>
      <c r="J18" s="120"/>
      <c r="K18" s="120"/>
      <c r="L18" s="120"/>
      <c r="M18" s="120"/>
      <c r="N18" s="120"/>
      <c r="O18" s="120"/>
      <c r="P18" s="120"/>
      <c r="Q18" s="120"/>
      <c r="R18" s="120"/>
      <c r="S18" s="120"/>
    </row>
    <row r="19" ht="19.5" customHeight="1" spans="1:19">
      <c r="A19" s="121"/>
      <c r="B19" s="122"/>
      <c r="C19" s="123" t="s">
        <v>14</v>
      </c>
      <c r="D19" s="120"/>
      <c r="E19" s="120"/>
      <c r="F19" s="120"/>
      <c r="G19" s="120"/>
      <c r="H19" s="120"/>
      <c r="I19" s="120"/>
      <c r="J19" s="120"/>
      <c r="K19" s="120"/>
      <c r="L19" s="120"/>
      <c r="M19" s="120"/>
      <c r="N19" s="120"/>
      <c r="O19" s="120"/>
      <c r="P19" s="120"/>
      <c r="Q19" s="120"/>
      <c r="R19" s="120"/>
      <c r="S19" s="120"/>
    </row>
    <row r="20" ht="19.5" customHeight="1" spans="1:19">
      <c r="A20" s="124"/>
      <c r="B20" s="125"/>
      <c r="C20" s="123" t="s">
        <v>15</v>
      </c>
      <c r="D20" s="120"/>
      <c r="E20" s="120"/>
      <c r="F20" s="120"/>
      <c r="G20" s="120"/>
      <c r="H20" s="120"/>
      <c r="I20" s="120"/>
      <c r="J20" s="120"/>
      <c r="K20" s="120"/>
      <c r="L20" s="120"/>
      <c r="M20" s="120"/>
      <c r="N20" s="120"/>
      <c r="O20" s="120"/>
      <c r="P20" s="120"/>
      <c r="Q20" s="120"/>
      <c r="R20" s="120"/>
      <c r="S20" s="120"/>
    </row>
    <row r="21" ht="19.5" customHeight="1" spans="1:19">
      <c r="A21" s="117">
        <v>1.4</v>
      </c>
      <c r="B21" s="118" t="s">
        <v>401</v>
      </c>
      <c r="C21" s="119" t="s">
        <v>4</v>
      </c>
      <c r="D21" s="120">
        <f>SUM(E21:S21)</f>
        <v>0</v>
      </c>
      <c r="E21" s="120">
        <f>SUM(E22:E24)</f>
        <v>0</v>
      </c>
      <c r="F21" s="120">
        <f t="shared" ref="F21" si="21">SUM(F22:F24)</f>
        <v>0</v>
      </c>
      <c r="G21" s="120">
        <f t="shared" ref="G21" si="22">SUM(G22:G24)</f>
        <v>0</v>
      </c>
      <c r="H21" s="120">
        <f t="shared" ref="H21" si="23">SUM(H22:H24)</f>
        <v>0</v>
      </c>
      <c r="I21" s="120">
        <f t="shared" ref="I21" si="24">SUM(I22:I24)</f>
        <v>0</v>
      </c>
      <c r="J21" s="120">
        <f t="shared" ref="J21" si="25">SUM(J22:J24)</f>
        <v>0</v>
      </c>
      <c r="K21" s="120">
        <f t="shared" ref="K21" si="26">SUM(K22:K24)</f>
        <v>0</v>
      </c>
      <c r="L21" s="120">
        <f t="shared" ref="L21" si="27">SUM(L22:L24)</f>
        <v>0</v>
      </c>
      <c r="M21" s="120">
        <f t="shared" ref="M21" si="28">SUM(M22:M24)</f>
        <v>0</v>
      </c>
      <c r="N21" s="120">
        <f t="shared" ref="N21" si="29">SUM(N22:N24)</f>
        <v>0</v>
      </c>
      <c r="O21" s="120">
        <f t="shared" ref="O21" si="30">SUM(O22:O24)</f>
        <v>0</v>
      </c>
      <c r="P21" s="120">
        <f t="shared" ref="P21" si="31">SUM(P22:P24)</f>
        <v>0</v>
      </c>
      <c r="Q21" s="120">
        <f t="shared" ref="Q21" si="32">SUM(Q22:Q24)</f>
        <v>0</v>
      </c>
      <c r="R21" s="120">
        <f t="shared" ref="R21" si="33">SUM(R22:R24)</f>
        <v>0</v>
      </c>
      <c r="S21" s="120">
        <f t="shared" ref="S21" si="34">SUM(S22:S24)</f>
        <v>0</v>
      </c>
    </row>
    <row r="22" ht="19.5" customHeight="1" spans="1:19">
      <c r="A22" s="121"/>
      <c r="B22" s="122"/>
      <c r="C22" s="123" t="s">
        <v>13</v>
      </c>
      <c r="D22" s="120"/>
      <c r="E22" s="120"/>
      <c r="F22" s="120"/>
      <c r="G22" s="120"/>
      <c r="H22" s="120"/>
      <c r="I22" s="120"/>
      <c r="J22" s="120"/>
      <c r="K22" s="120"/>
      <c r="L22" s="120"/>
      <c r="M22" s="120"/>
      <c r="N22" s="120"/>
      <c r="O22" s="120"/>
      <c r="P22" s="120"/>
      <c r="Q22" s="120"/>
      <c r="R22" s="120"/>
      <c r="S22" s="120"/>
    </row>
    <row r="23" ht="19.5" customHeight="1" spans="1:19">
      <c r="A23" s="121"/>
      <c r="B23" s="122"/>
      <c r="C23" s="123" t="s">
        <v>14</v>
      </c>
      <c r="D23" s="120"/>
      <c r="E23" s="120"/>
      <c r="F23" s="120"/>
      <c r="G23" s="120"/>
      <c r="H23" s="120"/>
      <c r="I23" s="120"/>
      <c r="J23" s="120"/>
      <c r="K23" s="120"/>
      <c r="L23" s="120"/>
      <c r="M23" s="120"/>
      <c r="N23" s="120"/>
      <c r="O23" s="120"/>
      <c r="P23" s="120"/>
      <c r="Q23" s="120"/>
      <c r="R23" s="120"/>
      <c r="S23" s="120"/>
    </row>
    <row r="24" ht="19.5" customHeight="1" spans="1:19">
      <c r="A24" s="124"/>
      <c r="B24" s="125"/>
      <c r="C24" s="123" t="s">
        <v>15</v>
      </c>
      <c r="D24" s="120"/>
      <c r="E24" s="120"/>
      <c r="F24" s="120"/>
      <c r="G24" s="120"/>
      <c r="H24" s="120"/>
      <c r="I24" s="120"/>
      <c r="J24" s="120"/>
      <c r="K24" s="120"/>
      <c r="L24" s="120"/>
      <c r="M24" s="120"/>
      <c r="N24" s="120"/>
      <c r="O24" s="120"/>
      <c r="P24" s="120"/>
      <c r="Q24" s="120"/>
      <c r="R24" s="120"/>
      <c r="S24" s="120"/>
    </row>
    <row r="25" ht="19.5" customHeight="1" spans="1:19">
      <c r="A25" s="117">
        <v>2</v>
      </c>
      <c r="B25" s="118" t="s">
        <v>376</v>
      </c>
      <c r="C25" s="119" t="s">
        <v>4</v>
      </c>
      <c r="D25" s="120">
        <f>SUM(E25:S25)</f>
        <v>1682499.6754297</v>
      </c>
      <c r="E25" s="120">
        <f>E29+E33+E37+E41+E49+E53</f>
        <v>71481.9827633465</v>
      </c>
      <c r="F25" s="120">
        <f t="shared" ref="F25:S25" si="35">F29+F33+F37+F41+F49+F53</f>
        <v>74757.7024777194</v>
      </c>
      <c r="G25" s="120">
        <f t="shared" si="35"/>
        <v>85824.6894692924</v>
      </c>
      <c r="H25" s="120">
        <f t="shared" si="35"/>
        <v>68438.8666924654</v>
      </c>
      <c r="I25" s="120">
        <f t="shared" si="35"/>
        <v>73388.4761831284</v>
      </c>
      <c r="J25" s="120">
        <f t="shared" si="35"/>
        <v>125868.554878306</v>
      </c>
      <c r="K25" s="120">
        <f t="shared" si="35"/>
        <v>126694.917956806</v>
      </c>
      <c r="L25" s="120">
        <f t="shared" si="35"/>
        <v>128225.015072614</v>
      </c>
      <c r="M25" s="120">
        <f t="shared" si="35"/>
        <v>128875.09000546</v>
      </c>
      <c r="N25" s="120">
        <f t="shared" si="35"/>
        <v>129541.386533233</v>
      </c>
      <c r="O25" s="120">
        <f t="shared" si="35"/>
        <v>130521.911997712</v>
      </c>
      <c r="P25" s="120">
        <f t="shared" si="35"/>
        <v>133016.284973999</v>
      </c>
      <c r="Q25" s="120">
        <f t="shared" si="35"/>
        <v>134170.488259822</v>
      </c>
      <c r="R25" s="120">
        <f t="shared" si="35"/>
        <v>135205.010465571</v>
      </c>
      <c r="S25" s="120">
        <f t="shared" si="35"/>
        <v>136489.297700224</v>
      </c>
    </row>
    <row r="26" ht="19.5" customHeight="1" spans="1:19">
      <c r="A26" s="121"/>
      <c r="B26" s="122"/>
      <c r="C26" s="123" t="s">
        <v>13</v>
      </c>
      <c r="D26" s="120">
        <f t="shared" ref="D26:D33" si="36">SUM(E26:S26)</f>
        <v>439868.749679928</v>
      </c>
      <c r="E26" s="120">
        <f t="shared" ref="E26:S26" si="37">E30+E34+E38+E42+E50+E54</f>
        <v>17096.3807061211</v>
      </c>
      <c r="F26" s="120">
        <f t="shared" si="37"/>
        <v>18490.2006990834</v>
      </c>
      <c r="G26" s="120">
        <f t="shared" si="37"/>
        <v>21246.0513356456</v>
      </c>
      <c r="H26" s="120">
        <f t="shared" si="37"/>
        <v>19027.9231030078</v>
      </c>
      <c r="I26" s="120">
        <f t="shared" si="37"/>
        <v>20895.8868011701</v>
      </c>
      <c r="J26" s="120">
        <f t="shared" si="37"/>
        <v>32965.3141803108</v>
      </c>
      <c r="K26" s="120">
        <f t="shared" si="37"/>
        <v>33142.4654473108</v>
      </c>
      <c r="L26" s="120">
        <f t="shared" si="37"/>
        <v>33555.8788215108</v>
      </c>
      <c r="M26" s="120">
        <f t="shared" si="37"/>
        <v>33693.5728730708</v>
      </c>
      <c r="N26" s="120">
        <f t="shared" si="37"/>
        <v>33912.4840354876</v>
      </c>
      <c r="O26" s="120">
        <f t="shared" si="37"/>
        <v>34210.376167772</v>
      </c>
      <c r="P26" s="120">
        <f t="shared" si="37"/>
        <v>34889.0379775211</v>
      </c>
      <c r="Q26" s="120">
        <f t="shared" si="37"/>
        <v>35283.995960353</v>
      </c>
      <c r="R26" s="120">
        <f t="shared" si="37"/>
        <v>35578.0488892825</v>
      </c>
      <c r="S26" s="120">
        <f t="shared" si="37"/>
        <v>35881.1326822809</v>
      </c>
    </row>
    <row r="27" ht="19.5" customHeight="1" spans="1:19">
      <c r="A27" s="121"/>
      <c r="B27" s="122"/>
      <c r="C27" s="123" t="s">
        <v>14</v>
      </c>
      <c r="D27" s="120">
        <f t="shared" si="36"/>
        <v>332736.526238144</v>
      </c>
      <c r="E27" s="120">
        <f t="shared" ref="E27:S27" si="38">E31+E35+E39+E43+E51+E55</f>
        <v>15043.227066175</v>
      </c>
      <c r="F27" s="120">
        <f t="shared" si="38"/>
        <v>15421.9794050849</v>
      </c>
      <c r="G27" s="120">
        <f t="shared" si="38"/>
        <v>17695.5557475948</v>
      </c>
      <c r="H27" s="120">
        <f t="shared" si="38"/>
        <v>13049.4533009047</v>
      </c>
      <c r="I27" s="120">
        <f t="shared" si="38"/>
        <v>13049.4533009047</v>
      </c>
      <c r="J27" s="120">
        <f t="shared" si="38"/>
        <v>25006.1659547782</v>
      </c>
      <c r="K27" s="120">
        <f t="shared" si="38"/>
        <v>25181.7193887782</v>
      </c>
      <c r="L27" s="120">
        <f t="shared" si="38"/>
        <v>25401.1117337862</v>
      </c>
      <c r="M27" s="120">
        <f t="shared" si="38"/>
        <v>25512.019348144</v>
      </c>
      <c r="N27" s="120">
        <f t="shared" si="38"/>
        <v>25598.0789712318</v>
      </c>
      <c r="O27" s="120">
        <f t="shared" si="38"/>
        <v>25760.2682381564</v>
      </c>
      <c r="P27" s="120">
        <f t="shared" si="38"/>
        <v>26209.323348565</v>
      </c>
      <c r="Q27" s="120">
        <f t="shared" si="38"/>
        <v>26384.3943022212</v>
      </c>
      <c r="R27" s="120">
        <f t="shared" si="38"/>
        <v>26583.4523700071</v>
      </c>
      <c r="S27" s="120">
        <f t="shared" si="38"/>
        <v>26840.3237618118</v>
      </c>
    </row>
    <row r="28" ht="19.5" customHeight="1" spans="1:19">
      <c r="A28" s="124"/>
      <c r="B28" s="125"/>
      <c r="C28" s="123" t="s">
        <v>15</v>
      </c>
      <c r="D28" s="120">
        <f t="shared" si="36"/>
        <v>909894.399511628</v>
      </c>
      <c r="E28" s="120">
        <f t="shared" ref="E28:S28" si="39">E32+E36+E40+E44+E52+E56</f>
        <v>39342.3749910504</v>
      </c>
      <c r="F28" s="120">
        <f t="shared" si="39"/>
        <v>40845.5223735512</v>
      </c>
      <c r="G28" s="120">
        <f t="shared" si="39"/>
        <v>46883.082386052</v>
      </c>
      <c r="H28" s="120">
        <f t="shared" si="39"/>
        <v>36361.4902885528</v>
      </c>
      <c r="I28" s="120">
        <f t="shared" si="39"/>
        <v>39443.1360810536</v>
      </c>
      <c r="J28" s="120">
        <f t="shared" si="39"/>
        <v>67897.0747432171</v>
      </c>
      <c r="K28" s="120">
        <f t="shared" si="39"/>
        <v>68370.7331207172</v>
      </c>
      <c r="L28" s="120">
        <f t="shared" si="39"/>
        <v>69268.0245173171</v>
      </c>
      <c r="M28" s="120">
        <f t="shared" si="39"/>
        <v>69669.4977842451</v>
      </c>
      <c r="N28" s="120">
        <f t="shared" si="39"/>
        <v>70030.8235265135</v>
      </c>
      <c r="O28" s="120">
        <f t="shared" si="39"/>
        <v>70551.2675917841</v>
      </c>
      <c r="P28" s="120">
        <f t="shared" si="39"/>
        <v>71917.9236479133</v>
      </c>
      <c r="Q28" s="120">
        <f t="shared" si="39"/>
        <v>72502.0979972479</v>
      </c>
      <c r="R28" s="120">
        <f t="shared" si="39"/>
        <v>73043.5092062815</v>
      </c>
      <c r="S28" s="120">
        <f t="shared" si="39"/>
        <v>73767.8412561315</v>
      </c>
    </row>
    <row r="29" ht="19.5" customHeight="1" spans="1:19">
      <c r="A29" s="117">
        <v>2.1</v>
      </c>
      <c r="B29" s="118" t="s">
        <v>30</v>
      </c>
      <c r="C29" s="119" t="s">
        <v>4</v>
      </c>
      <c r="D29" s="120">
        <f t="shared" si="36"/>
        <v>239132.2537238</v>
      </c>
      <c r="E29" s="120">
        <f>项目投资与资金筹措计划表!E40</f>
        <v>65101.98794476</v>
      </c>
      <c r="F29" s="120">
        <f>项目投资与资金筹措计划表!F40</f>
        <v>56464.21934476</v>
      </c>
      <c r="G29" s="120">
        <f>项目投资与资金筹措计划表!G40</f>
        <v>56464.21934476</v>
      </c>
      <c r="H29" s="120">
        <f>项目投资与资金筹措计划表!H40</f>
        <v>30550.91354476</v>
      </c>
      <c r="I29" s="120">
        <f>项目投资与资金筹措计划表!I40</f>
        <v>30550.91354476</v>
      </c>
      <c r="J29" s="120"/>
      <c r="K29" s="120"/>
      <c r="L29" s="120"/>
      <c r="M29" s="120"/>
      <c r="N29" s="120"/>
      <c r="O29" s="120"/>
      <c r="P29" s="120"/>
      <c r="Q29" s="120"/>
      <c r="R29" s="120"/>
      <c r="S29" s="120"/>
    </row>
    <row r="30" ht="19.5" customHeight="1" spans="1:19">
      <c r="A30" s="121"/>
      <c r="B30" s="122"/>
      <c r="C30" s="123" t="s">
        <v>13</v>
      </c>
      <c r="D30" s="120">
        <f t="shared" si="36"/>
        <v>62752.2531572</v>
      </c>
      <c r="E30" s="120">
        <f>项目投资与资金筹措计划表!E41</f>
        <v>15570.47423144</v>
      </c>
      <c r="F30" s="120">
        <f>项目投资与资金筹措计划表!F41</f>
        <v>14060.46243144</v>
      </c>
      <c r="G30" s="120">
        <f>项目投资与资金筹措计划表!G41</f>
        <v>14060.46243144</v>
      </c>
      <c r="H30" s="120">
        <f>项目投资与资金筹措计划表!H41</f>
        <v>9530.42703144</v>
      </c>
      <c r="I30" s="120">
        <f>项目投资与资金筹措计划表!I41</f>
        <v>9530.42703144</v>
      </c>
      <c r="J30" s="120"/>
      <c r="K30" s="120"/>
      <c r="L30" s="120"/>
      <c r="M30" s="120"/>
      <c r="N30" s="120"/>
      <c r="O30" s="120"/>
      <c r="P30" s="120"/>
      <c r="Q30" s="120"/>
      <c r="R30" s="120"/>
      <c r="S30" s="120"/>
    </row>
    <row r="31" ht="19.5" customHeight="1" spans="1:19">
      <c r="A31" s="121"/>
      <c r="B31" s="122"/>
      <c r="C31" s="123" t="s">
        <v>14</v>
      </c>
      <c r="D31" s="120">
        <f t="shared" si="36"/>
        <v>47495.9374926</v>
      </c>
      <c r="E31" s="120">
        <f>项目投资与资金筹措计划表!E42</f>
        <v>13700.57109852</v>
      </c>
      <c r="F31" s="120">
        <f>项目投资与资金筹措计划表!F42</f>
        <v>11599.87929852</v>
      </c>
      <c r="G31" s="120">
        <f>项目投资与资金筹措计划表!G42</f>
        <v>11599.87929852</v>
      </c>
      <c r="H31" s="120">
        <f>项目投资与资金筹措计划表!H42</f>
        <v>5297.80389852</v>
      </c>
      <c r="I31" s="120">
        <f>项目投资与资金筹措计划表!I42</f>
        <v>5297.80389852</v>
      </c>
      <c r="J31" s="120"/>
      <c r="K31" s="120"/>
      <c r="L31" s="120"/>
      <c r="M31" s="120"/>
      <c r="N31" s="120"/>
      <c r="O31" s="120"/>
      <c r="P31" s="120"/>
      <c r="Q31" s="120"/>
      <c r="R31" s="120"/>
      <c r="S31" s="120"/>
    </row>
    <row r="32" ht="19.5" customHeight="1" spans="1:19">
      <c r="A32" s="124"/>
      <c r="B32" s="125"/>
      <c r="C32" s="123" t="s">
        <v>15</v>
      </c>
      <c r="D32" s="120">
        <f t="shared" si="36"/>
        <v>128884.063074</v>
      </c>
      <c r="E32" s="120">
        <f>项目投资与资金筹措计划表!E43</f>
        <v>35830.9426148</v>
      </c>
      <c r="F32" s="120">
        <f>项目投资与资金筹措计划表!F43</f>
        <v>30803.8776148</v>
      </c>
      <c r="G32" s="120">
        <f>项目投资与资金筹措计划表!G43</f>
        <v>30803.8776148</v>
      </c>
      <c r="H32" s="120">
        <f>项目投资与资金筹措计划表!H43</f>
        <v>15722.6826148</v>
      </c>
      <c r="I32" s="120">
        <f>项目投资与资金筹措计划表!I43</f>
        <v>15722.6826148</v>
      </c>
      <c r="J32" s="120"/>
      <c r="K32" s="120"/>
      <c r="L32" s="120"/>
      <c r="M32" s="120"/>
      <c r="N32" s="120"/>
      <c r="O32" s="120"/>
      <c r="P32" s="120"/>
      <c r="Q32" s="120"/>
      <c r="R32" s="120"/>
      <c r="S32" s="120"/>
    </row>
    <row r="33" ht="19.5" customHeight="1" spans="1:19">
      <c r="A33" s="117">
        <v>2.2</v>
      </c>
      <c r="B33" s="118" t="s">
        <v>402</v>
      </c>
      <c r="C33" s="119" t="s">
        <v>4</v>
      </c>
      <c r="D33" s="120">
        <f t="shared" si="36"/>
        <v>956529.0148952</v>
      </c>
      <c r="E33" s="120"/>
      <c r="F33" s="120"/>
      <c r="G33" s="120"/>
      <c r="H33" s="120">
        <f>'建设期支付利息还本付息计划表  '!H21</f>
        <v>0</v>
      </c>
      <c r="I33" s="120">
        <f>'建设期支付利息还本付息计划表  '!I21</f>
        <v>0</v>
      </c>
      <c r="J33" s="120">
        <f>'建设期支付利息还本付息计划表  '!J21</f>
        <v>76404.1085625374</v>
      </c>
      <c r="K33" s="120">
        <f>'建设期支付利息还本付息计划表  '!K21</f>
        <v>80147.9098821017</v>
      </c>
      <c r="L33" s="120">
        <f>'建设期支付利息还本付息计划表  '!L21</f>
        <v>84075.1574663247</v>
      </c>
      <c r="M33" s="120">
        <f>'建设期支付利息还本付息计划表  '!M21</f>
        <v>88194.8401821746</v>
      </c>
      <c r="N33" s="120">
        <f>'建设期支付利息还本付息计划表  '!N21</f>
        <v>92516.3873511011</v>
      </c>
      <c r="O33" s="120">
        <f>'建设期支付利息还本付息计划表  '!O21</f>
        <v>97049.6903313051</v>
      </c>
      <c r="P33" s="120">
        <f>'建设期支付利息还本付息计划表  '!P21</f>
        <v>101805.125157539</v>
      </c>
      <c r="Q33" s="120">
        <f>'建设期支付利息还本付息计划表  '!Q21</f>
        <v>106793.576290258</v>
      </c>
      <c r="R33" s="120">
        <f>'建设期支付利息还本付息计划表  '!R21</f>
        <v>112026.461528481</v>
      </c>
      <c r="S33" s="120">
        <f>'建设期支付利息还本付息计划表  '!S21</f>
        <v>117515.758143377</v>
      </c>
    </row>
    <row r="34" ht="19.5" customHeight="1" spans="1:19">
      <c r="A34" s="121"/>
      <c r="B34" s="122"/>
      <c r="C34" s="123" t="s">
        <v>13</v>
      </c>
      <c r="D34" s="120">
        <f t="shared" ref="D34:D36" si="40">SUM(E34:S34)</f>
        <v>251009.0126288</v>
      </c>
      <c r="E34" s="120"/>
      <c r="F34" s="120"/>
      <c r="G34" s="120"/>
      <c r="H34" s="120"/>
      <c r="I34" s="120"/>
      <c r="J34" s="120">
        <f>'建设期支付利息还本付息计划表  '!J22</f>
        <v>20049.7000638996</v>
      </c>
      <c r="K34" s="120">
        <f>'建设期支付利息还本付息计划表  '!K22</f>
        <v>21032.1353670307</v>
      </c>
      <c r="L34" s="120">
        <f>'建设期支付利息还本付息计划表  '!L22</f>
        <v>22062.7100000152</v>
      </c>
      <c r="M34" s="120">
        <f>'建设期支付利息还本付息计划表  '!M22</f>
        <v>23143.782790016</v>
      </c>
      <c r="N34" s="120">
        <f>'建设期支付利息还本付息计划表  '!N22</f>
        <v>24277.8281467268</v>
      </c>
      <c r="O34" s="120">
        <f>'建设期支付利息还本付息计划表  '!O22</f>
        <v>25467.4417259164</v>
      </c>
      <c r="P34" s="120">
        <f>'建设期支付利息还本付息计划表  '!P22</f>
        <v>26715.3463704863</v>
      </c>
      <c r="Q34" s="120">
        <f>'建设期支付利息还本付息计划表  '!Q22</f>
        <v>28024.3983426401</v>
      </c>
      <c r="R34" s="120">
        <f>'建设期支付利息还本付息计划表  '!R22</f>
        <v>29397.5938614295</v>
      </c>
      <c r="S34" s="120">
        <f>'建设期支付利息还本付息计划表  '!S22</f>
        <v>30838.0759606395</v>
      </c>
    </row>
    <row r="35" ht="19.5" customHeight="1" spans="1:19">
      <c r="A35" s="121"/>
      <c r="B35" s="122"/>
      <c r="C35" s="123" t="s">
        <v>14</v>
      </c>
      <c r="D35" s="120">
        <f t="shared" si="40"/>
        <v>189983.7499704</v>
      </c>
      <c r="E35" s="120"/>
      <c r="F35" s="120"/>
      <c r="G35" s="120"/>
      <c r="H35" s="120">
        <f>'建设期支付利息还本付息计划表  '!H23</f>
        <v>0</v>
      </c>
      <c r="I35" s="120">
        <f>'建设期支付利息还本付息计划表  '!I23</f>
        <v>0</v>
      </c>
      <c r="J35" s="120">
        <f>'建设期支付利息还本付息计划表  '!J23</f>
        <v>15175.2208577246</v>
      </c>
      <c r="K35" s="120">
        <f>'建设期支付利息还本付息计划表  '!K23</f>
        <v>15918.8066797531</v>
      </c>
      <c r="L35" s="120">
        <f>'建设期支付利息还本付息计划表  '!L23</f>
        <v>16698.828207061</v>
      </c>
      <c r="M35" s="120">
        <f>'建设期支付利息还本付息计划表  '!M23</f>
        <v>17517.070789207</v>
      </c>
      <c r="N35" s="120">
        <f>'建设期支付利息还本付息计划表  '!N23</f>
        <v>18375.4072578781</v>
      </c>
      <c r="O35" s="120">
        <f>'建设期支付利息还本付息计划表  '!O23</f>
        <v>19275.8022135142</v>
      </c>
      <c r="P35" s="120">
        <f>'建设期支付利息还本付息计划表  '!P23</f>
        <v>20220.3165219763</v>
      </c>
      <c r="Q35" s="120">
        <f>'建设期支付利息还本付息计划表  '!Q23</f>
        <v>21211.1120315532</v>
      </c>
      <c r="R35" s="120">
        <f>'建设期支付利息还本付息计划表  '!R23</f>
        <v>22250.4565210993</v>
      </c>
      <c r="S35" s="120">
        <f>'建设期支付利息还本付息计划表  '!S23</f>
        <v>23340.7288906332</v>
      </c>
    </row>
    <row r="36" ht="19.5" customHeight="1" spans="1:19">
      <c r="A36" s="124"/>
      <c r="B36" s="125"/>
      <c r="C36" s="123" t="s">
        <v>15</v>
      </c>
      <c r="D36" s="120">
        <f t="shared" si="40"/>
        <v>515536.252296</v>
      </c>
      <c r="E36" s="120"/>
      <c r="F36" s="120"/>
      <c r="G36" s="120"/>
      <c r="H36" s="120"/>
      <c r="I36" s="120"/>
      <c r="J36" s="120">
        <f>'建设期支付利息还本付息计划表  '!J24</f>
        <v>41179.1876409131</v>
      </c>
      <c r="K36" s="120">
        <f>'建设期支付利息还本付息计划表  '!K24</f>
        <v>43196.9678353179</v>
      </c>
      <c r="L36" s="120">
        <f>'建设期支付利息还本付息计划表  '!L24</f>
        <v>45313.6192592485</v>
      </c>
      <c r="M36" s="120">
        <f>'建设期支付利息还本付息计划表  '!M24</f>
        <v>47533.9866029516</v>
      </c>
      <c r="N36" s="120">
        <f>'建设期支付利息还本付息计划表  '!N24</f>
        <v>49863.1519464963</v>
      </c>
      <c r="O36" s="120">
        <f>'建设期支付利息还本付息计划表  '!O24</f>
        <v>52306.4463918746</v>
      </c>
      <c r="P36" s="120">
        <f>'建设期支付利息还本付息计划表  '!P24</f>
        <v>54869.4622650764</v>
      </c>
      <c r="Q36" s="120">
        <f>'建设期支付利息还本付息计划表  '!Q24</f>
        <v>57558.0659160652</v>
      </c>
      <c r="R36" s="120">
        <f>'建设期支付利息还本付息计划表  '!R24</f>
        <v>60378.4111459524</v>
      </c>
      <c r="S36" s="120">
        <f>'建设期支付利息还本付息计划表  '!S24</f>
        <v>63336.9532921041</v>
      </c>
    </row>
    <row r="37" ht="19.5" customHeight="1" spans="1:19">
      <c r="A37" s="117">
        <v>2.3</v>
      </c>
      <c r="B37" s="118" t="s">
        <v>403</v>
      </c>
      <c r="C37" s="119" t="s">
        <v>4</v>
      </c>
      <c r="D37" s="120"/>
      <c r="E37" s="120">
        <f>'建设期支付利息还本付息计划表  '!E25</f>
        <v>6379.99481858648</v>
      </c>
      <c r="F37" s="120">
        <f>'建设期支付利息还本付息计划表  '!F25</f>
        <v>18293.4831329594</v>
      </c>
      <c r="G37" s="120">
        <f>'建设期支付利息还本付息计划表  '!G25</f>
        <v>29360.4701245324</v>
      </c>
      <c r="H37" s="120">
        <f>'建设期支付利息还本付息计划表  '!H25</f>
        <v>37887.9531477054</v>
      </c>
      <c r="I37" s="120">
        <f>'建设期支付利息还本付息计划表  '!I25</f>
        <v>42837.5626383684</v>
      </c>
      <c r="J37" s="120">
        <f>'建设期支付利息还本付息计划表  '!J25</f>
        <v>46869.9217298648</v>
      </c>
      <c r="K37" s="120">
        <f>'建设期支付利息还本付息计划表  '!K25</f>
        <v>43126.1204103005</v>
      </c>
      <c r="L37" s="120">
        <f>'建设期支付利息还本付息计划表  '!L25</f>
        <v>39198.8728260775</v>
      </c>
      <c r="M37" s="120">
        <f>'建设期支付利息还本付息计划表  '!M25</f>
        <v>35079.1901102276</v>
      </c>
      <c r="N37" s="120">
        <f>'建设期支付利息还本付息计划表  '!N25</f>
        <v>30757.642941301</v>
      </c>
      <c r="O37" s="120">
        <f>'建设期支付利息还本付息计划表  '!O25</f>
        <v>26224.3399610971</v>
      </c>
      <c r="P37" s="120">
        <f>'建设期支付利息还本付息计划表  '!P25</f>
        <v>21468.9051348631</v>
      </c>
      <c r="Q37" s="120">
        <f>'建设期支付利息还本付息计划表  '!Q25</f>
        <v>16480.4540021437</v>
      </c>
      <c r="R37" s="120">
        <f>'建设期支付利息还本付息计划表  '!R25</f>
        <v>11247.568763921</v>
      </c>
      <c r="S37" s="120">
        <f>'建设期支付利息还本付息计划表  '!S25</f>
        <v>5758.27214902546</v>
      </c>
    </row>
    <row r="38" ht="19.5" customHeight="1" spans="1:19">
      <c r="A38" s="121"/>
      <c r="B38" s="122"/>
      <c r="C38" s="123" t="s">
        <v>13</v>
      </c>
      <c r="D38" s="120"/>
      <c r="E38" s="120">
        <f>'建设期支付利息还本付息计划表  '!E26</f>
        <v>1525.90647468112</v>
      </c>
      <c r="F38" s="120">
        <f>'建设期支付利息还本付息计划表  '!F26</f>
        <v>4429.73826764336</v>
      </c>
      <c r="G38" s="120">
        <f>'建设期支付利息还本付息计划表  '!G26</f>
        <v>7185.5889042056</v>
      </c>
      <c r="H38" s="120">
        <f>'建设期支付利息还本付息计划表  '!H26</f>
        <v>9497.49607156784</v>
      </c>
      <c r="I38" s="120">
        <f>'建设期支付利息还本付息计划表  '!I26</f>
        <v>11365.4597697301</v>
      </c>
      <c r="J38" s="120">
        <f>'建设期支付利息还本付息计划表  '!J26</f>
        <v>12299.4416188112</v>
      </c>
      <c r="K38" s="120">
        <f>'建设期支付利息还本付息计划表  '!K26</f>
        <v>11317.0063156801</v>
      </c>
      <c r="L38" s="120">
        <f>'建设期支付利息还本付息计划表  '!L26</f>
        <v>10286.4316826956</v>
      </c>
      <c r="M38" s="120">
        <f>'建设期支付利息还本付息计划表  '!M26</f>
        <v>9205.35889269487</v>
      </c>
      <c r="N38" s="120">
        <f>'建设期支付利息还本付息计划表  '!N26</f>
        <v>8071.31353598409</v>
      </c>
      <c r="O38" s="120">
        <f>'建设期支付利息还本付息计划表  '!O26</f>
        <v>6881.69995679448</v>
      </c>
      <c r="P38" s="120">
        <f>'建设期支付利息还本付息计划表  '!P26</f>
        <v>5633.79531222457</v>
      </c>
      <c r="Q38" s="120">
        <f>'建设期支付利息还本付息计划表  '!Q26</f>
        <v>4324.74334007075</v>
      </c>
      <c r="R38" s="120">
        <f>'建设期支付利息还本付息计划表  '!R26</f>
        <v>2951.54782128138</v>
      </c>
      <c r="S38" s="120">
        <f>'建设期支付利息还本付息计划表  '!S26</f>
        <v>1511.06572207134</v>
      </c>
    </row>
    <row r="39" ht="19.5" customHeight="1" spans="1:19">
      <c r="A39" s="121"/>
      <c r="B39" s="122"/>
      <c r="C39" s="123" t="s">
        <v>14</v>
      </c>
      <c r="D39" s="120"/>
      <c r="E39" s="120">
        <f>'建设期支付利息还本付息计划表  '!E27</f>
        <v>1342.65596765496</v>
      </c>
      <c r="F39" s="120">
        <f>'建设期支付利息还本付息计划表  '!F27</f>
        <v>3822.10010656488</v>
      </c>
      <c r="G39" s="120">
        <f>'建设期支付利息还本付息计划表  '!G27</f>
        <v>6095.6764490748</v>
      </c>
      <c r="H39" s="120">
        <f>'建设期支付利息还本付息计划表  '!H27</f>
        <v>7751.64940238472</v>
      </c>
      <c r="I39" s="120">
        <f>'建设期支付利息还本付息计划表  '!I27</f>
        <v>7751.64940238472</v>
      </c>
      <c r="J39" s="120">
        <f>'建设期支付利息还本付息计划表  '!J27</f>
        <v>9309.2037485496</v>
      </c>
      <c r="K39" s="120">
        <f>'建设期支付利息还本付息计划表  '!K27</f>
        <v>8565.61792652109</v>
      </c>
      <c r="L39" s="120">
        <f>'建设期支付利息还本付息计划表  '!L27</f>
        <v>7785.59639921319</v>
      </c>
      <c r="M39" s="120">
        <f>'建设期支付利息还本付息计划表  '!M27</f>
        <v>6967.3538170672</v>
      </c>
      <c r="N39" s="120">
        <f>'建设期支付利息还本付息计划表  '!N27</f>
        <v>6109.01734839606</v>
      </c>
      <c r="O39" s="120">
        <f>'建设期支付利息还本付息计划表  '!O27</f>
        <v>5208.62239276003</v>
      </c>
      <c r="P39" s="120">
        <f>'建设期支付利息还本付息计划表  '!P27</f>
        <v>4264.10808429784</v>
      </c>
      <c r="Q39" s="120">
        <f>'建设期支付利息还本付息计划表  '!Q27</f>
        <v>3273.312574721</v>
      </c>
      <c r="R39" s="120">
        <f>'建设期支付利息还本付息计划表  '!R27</f>
        <v>2233.96808517489</v>
      </c>
      <c r="S39" s="120">
        <f>'建设期支付利息还本付息计划表  '!S27</f>
        <v>1143.69571564103</v>
      </c>
    </row>
    <row r="40" ht="19.5" customHeight="1" spans="1:19">
      <c r="A40" s="124"/>
      <c r="B40" s="125"/>
      <c r="C40" s="123" t="s">
        <v>15</v>
      </c>
      <c r="D40" s="120"/>
      <c r="E40" s="120">
        <f>'建设期支付利息还本付息计划表  '!E28</f>
        <v>3511.4323762504</v>
      </c>
      <c r="F40" s="120">
        <f>'建设期支付利息还本付息计划表  '!F28</f>
        <v>10041.6447587512</v>
      </c>
      <c r="G40" s="120">
        <f>'建设期支付利息还本付息计划表  '!G28</f>
        <v>16079.204771252</v>
      </c>
      <c r="H40" s="120">
        <f>'建设期支付利息还本付息计划表  '!H28</f>
        <v>20638.8076737528</v>
      </c>
      <c r="I40" s="120">
        <f>'建设期支付利息还本付息计划表  '!I28</f>
        <v>23720.4534662536</v>
      </c>
      <c r="J40" s="120">
        <f>'建设期支付利息还本付息计划表  '!J28</f>
        <v>25261.276362504</v>
      </c>
      <c r="K40" s="120">
        <f>'建设期支付利息还本付息计划表  '!K28</f>
        <v>23243.4961680993</v>
      </c>
      <c r="L40" s="120">
        <f>'建设期支付利息还本付息计划表  '!L28</f>
        <v>21126.8447441687</v>
      </c>
      <c r="M40" s="120">
        <f>'建设期支付利息还本付息计划表  '!M28</f>
        <v>18906.4774004655</v>
      </c>
      <c r="N40" s="120">
        <f>'建设期支付利息还本付息计划表  '!N28</f>
        <v>16577.3120569209</v>
      </c>
      <c r="O40" s="120">
        <f>'建设期支付利息还本付息计划表  '!O28</f>
        <v>14134.0176115426</v>
      </c>
      <c r="P40" s="120">
        <f>'建设期支付利息还本付息计划表  '!P28</f>
        <v>11571.0017383407</v>
      </c>
      <c r="Q40" s="120">
        <f>'建设期支付利息还本付息计划表  '!Q28</f>
        <v>8882.39808735196</v>
      </c>
      <c r="R40" s="120">
        <f>'建设期支付利息还本付息计划表  '!R28</f>
        <v>6062.05285746476</v>
      </c>
      <c r="S40" s="120">
        <f>'建设期支付利息还本付息计划表  '!S28</f>
        <v>3103.5107113131</v>
      </c>
    </row>
    <row r="41" ht="19.5" customHeight="1" spans="1:19">
      <c r="A41" s="117">
        <v>2.4</v>
      </c>
      <c r="B41" s="118" t="s">
        <v>404</v>
      </c>
      <c r="C41" s="119" t="s">
        <v>4</v>
      </c>
      <c r="D41" s="120">
        <f>SUM(E41:S41)</f>
        <v>57249.0141329369</v>
      </c>
      <c r="E41" s="120"/>
      <c r="F41" s="120"/>
      <c r="G41" s="120"/>
      <c r="H41" s="120">
        <f>'建设期付息政府付费用估算表 '!H29</f>
        <v>0</v>
      </c>
      <c r="I41" s="120">
        <f>'建设期付息政府付费用估算表 '!I29</f>
        <v>0</v>
      </c>
      <c r="J41" s="120">
        <f>'建设期付息政府付费用估算表 '!J29</f>
        <v>2594.524585904</v>
      </c>
      <c r="K41" s="120">
        <f>'建设期付息政府付费用估算表 '!K29</f>
        <v>3420.887664404</v>
      </c>
      <c r="L41" s="120">
        <f>'建设期付息政府付费用估算表 '!L29</f>
        <v>4950.984780212</v>
      </c>
      <c r="M41" s="120">
        <f>'建设期付息政府付费用估算表 '!M29</f>
        <v>5601.05971305784</v>
      </c>
      <c r="N41" s="120">
        <f>'建设期付息政府付费用估算表 '!N29</f>
        <v>5990.80108465896</v>
      </c>
      <c r="O41" s="120">
        <f>'建设期付息政府付费用估算表 '!O29</f>
        <v>6435.63074461208</v>
      </c>
      <c r="P41" s="120">
        <f>'建设期付息政府付费用估算表 '!P29</f>
        <v>6994.2325750618</v>
      </c>
      <c r="Q41" s="120">
        <f>'建设期付息政府付费用估算表 '!Q29</f>
        <v>6994.2325750618</v>
      </c>
      <c r="R41" s="120">
        <f>'建设期付息政府付费用估算表 '!R29</f>
        <v>7024.8371797018</v>
      </c>
      <c r="S41" s="120">
        <f>'建设期付息政府付费用估算表 '!S29</f>
        <v>7241.8232302626</v>
      </c>
    </row>
    <row r="42" ht="19.5" customHeight="1" spans="1:19">
      <c r="A42" s="121"/>
      <c r="B42" s="122"/>
      <c r="C42" s="123" t="s">
        <v>13</v>
      </c>
      <c r="D42" s="120">
        <f t="shared" ref="D42:D44" si="41">SUM(E42:S42)</f>
        <v>14013.759507632</v>
      </c>
      <c r="E42" s="120"/>
      <c r="F42" s="120"/>
      <c r="G42" s="120"/>
      <c r="H42" s="120">
        <f>'建设期付息政府付费用估算表 '!H30</f>
        <v>0</v>
      </c>
      <c r="I42" s="120">
        <f>'建设期付息政府付费用估算表 '!I30</f>
        <v>0</v>
      </c>
      <c r="J42" s="120">
        <f>'建设期付息政府付费用估算表 '!J30</f>
        <v>616.1724976</v>
      </c>
      <c r="K42" s="120">
        <f>'建设期付息政府付费用估算表 '!K30</f>
        <v>793.3237646</v>
      </c>
      <c r="L42" s="120">
        <f>'建设期付息政府付费用估算表 '!L30</f>
        <v>1206.7371388</v>
      </c>
      <c r="M42" s="120">
        <f>'建设期付息政府付费用估算表 '!M30</f>
        <v>1344.43119036</v>
      </c>
      <c r="N42" s="120">
        <f>'建设期付息政府付费用估算表 '!N30</f>
        <v>1446.44653916</v>
      </c>
      <c r="O42" s="120">
        <f>'建设期付息政府付费用估算表 '!O30</f>
        <v>1603.550176312</v>
      </c>
      <c r="P42" s="120">
        <f>'建设期付息政府付费用估算表 '!P30</f>
        <v>1729.52579742</v>
      </c>
      <c r="Q42" s="120">
        <f>'建设期付息政府付费用估算表 '!Q30</f>
        <v>1729.52579742</v>
      </c>
      <c r="R42" s="120">
        <f>'建设期付息政府付费用估算表 '!R30</f>
        <v>1760.13040206</v>
      </c>
      <c r="S42" s="120">
        <f>'建设期付息政府付费用估算表 '!S30</f>
        <v>1783.9162039</v>
      </c>
    </row>
    <row r="43" ht="19.5" customHeight="1" spans="1:19">
      <c r="A43" s="121"/>
      <c r="B43" s="122"/>
      <c r="C43" s="123" t="s">
        <v>14</v>
      </c>
      <c r="D43" s="120">
        <f t="shared" si="41"/>
        <v>10347.9069921389</v>
      </c>
      <c r="E43" s="120"/>
      <c r="F43" s="120"/>
      <c r="G43" s="120"/>
      <c r="H43" s="120">
        <f>'建设期付息政府付费用估算表 '!H31</f>
        <v>0</v>
      </c>
      <c r="I43" s="120">
        <f>'建设期付息政府付费用估算表 '!I31</f>
        <v>0</v>
      </c>
      <c r="J43" s="120">
        <f>'建设期付息政府付费用估算表 '!J31</f>
        <v>521.741348504</v>
      </c>
      <c r="K43" s="120">
        <f>'建设期付息政府付费用估算表 '!K31</f>
        <v>697.294782504</v>
      </c>
      <c r="L43" s="120">
        <f>'建设期付息政府付费用估算表 '!L31</f>
        <v>916.687127512</v>
      </c>
      <c r="M43" s="120">
        <f>'建设期付息政府付费用估算表 '!M31</f>
        <v>1027.59474186984</v>
      </c>
      <c r="N43" s="120">
        <f>'建设期付息政府付费用估算表 '!N31</f>
        <v>1083.50112857696</v>
      </c>
      <c r="O43" s="120">
        <f>'建设期付息政府付费用估算表 '!O31</f>
        <v>1139.40751528408</v>
      </c>
      <c r="P43" s="120">
        <f>'建设期付息政府付费用估算表 '!P31</f>
        <v>1229.1435407268</v>
      </c>
      <c r="Q43" s="120">
        <f>'建设期付息政府付费用估算表 '!Q31</f>
        <v>1229.1435407268</v>
      </c>
      <c r="R43" s="120">
        <f>'建设期付息政府付费用估算表 '!R31</f>
        <v>1229.1435407268</v>
      </c>
      <c r="S43" s="120">
        <f>'建设期付息政府付费用估算表 '!S31</f>
        <v>1274.2497257076</v>
      </c>
    </row>
    <row r="44" ht="19.5" customHeight="1" spans="1:19">
      <c r="A44" s="121"/>
      <c r="B44" s="122"/>
      <c r="C44" s="126" t="s">
        <v>15</v>
      </c>
      <c r="D44" s="127">
        <f t="shared" si="41"/>
        <v>32887.347633166</v>
      </c>
      <c r="E44" s="127"/>
      <c r="F44" s="127"/>
      <c r="G44" s="127"/>
      <c r="H44" s="127">
        <f>'建设期付息政府付费用估算表 '!H32</f>
        <v>0</v>
      </c>
      <c r="I44" s="127">
        <f>'建设期付息政府付费用估算表 '!I32</f>
        <v>0</v>
      </c>
      <c r="J44" s="127">
        <f>'建设期付息政府付费用估算表 '!J32</f>
        <v>1456.6107398</v>
      </c>
      <c r="K44" s="127">
        <f>'建设期付息政府付费用估算表 '!K32</f>
        <v>1930.2691173</v>
      </c>
      <c r="L44" s="127">
        <f>'建设期付息政府付费用估算表 '!L32</f>
        <v>2827.5605139</v>
      </c>
      <c r="M44" s="127">
        <f>'建设期付息政府付费用估算表 '!M32</f>
        <v>3229.033780828</v>
      </c>
      <c r="N44" s="127">
        <f>'建设期付息政府付费用估算表 '!N32</f>
        <v>3460.853416922</v>
      </c>
      <c r="O44" s="127">
        <f>'建设期付息政府付费用估算表 '!O32</f>
        <v>3692.673053016</v>
      </c>
      <c r="P44" s="127">
        <f>'建设期付息政府付费用估算表 '!P32</f>
        <v>4035.563236915</v>
      </c>
      <c r="Q44" s="127">
        <f>'建设期付息政府付费用估算表 '!Q32</f>
        <v>4035.563236915</v>
      </c>
      <c r="R44" s="127">
        <f>'建设期付息政府付费用估算表 '!R32</f>
        <v>4035.563236915</v>
      </c>
      <c r="S44" s="127">
        <f>'建设期付息政府付费用估算表 '!S32</f>
        <v>4183.657300655</v>
      </c>
    </row>
    <row r="45" s="107" customFormat="1" ht="19.5" customHeight="1" spans="1:16384">
      <c r="A45" s="128">
        <v>2.5</v>
      </c>
      <c r="B45" s="129" t="s">
        <v>51</v>
      </c>
      <c r="C45" s="644" t="s">
        <v>4</v>
      </c>
      <c r="D45" s="131">
        <f>项目公司利润与利润分配表!D37</f>
        <v>2059.82243372109</v>
      </c>
      <c r="E45" s="132">
        <f>项目公司利润与利润分配表!E37</f>
        <v>0</v>
      </c>
      <c r="F45" s="131">
        <f>项目公司利润与利润分配表!F37</f>
        <v>0</v>
      </c>
      <c r="G45" s="132">
        <f>项目公司利润与利润分配表!G37</f>
        <v>0</v>
      </c>
      <c r="H45" s="131">
        <f>项目公司利润与利润分配表!H37</f>
        <v>0</v>
      </c>
      <c r="I45" s="132">
        <f>项目公司利润与利润分配表!I37</f>
        <v>0</v>
      </c>
      <c r="J45" s="131">
        <f>项目公司利润与利润分配表!J37</f>
        <v>0</v>
      </c>
      <c r="K45" s="132">
        <f>项目公司利润与利润分配表!K37</f>
        <v>0</v>
      </c>
      <c r="L45" s="131">
        <f>项目公司利润与利润分配表!L37</f>
        <v>0</v>
      </c>
      <c r="M45" s="132">
        <f>项目公司利润与利润分配表!M37</f>
        <v>0</v>
      </c>
      <c r="N45" s="131">
        <f>项目公司利润与利润分配表!N37</f>
        <v>0</v>
      </c>
      <c r="O45" s="132">
        <f>项目公司利润与利润分配表!O37</f>
        <v>0</v>
      </c>
      <c r="P45" s="131">
        <f>项目公司利润与利润分配表!P37</f>
        <v>0</v>
      </c>
      <c r="Q45" s="132">
        <f>项目公司利润与利润分配表!Q37</f>
        <v>67.1535642906318</v>
      </c>
      <c r="R45" s="131">
        <f>项目公司利润与利润分配表!R37</f>
        <v>996.557918470278</v>
      </c>
      <c r="S45" s="132">
        <f>项目公司利润与利润分配表!S37</f>
        <v>996.110950960182</v>
      </c>
      <c r="T45" s="129"/>
      <c r="U45" s="128"/>
      <c r="V45" s="129"/>
      <c r="W45" s="128"/>
      <c r="X45" s="129"/>
      <c r="Y45" s="128"/>
      <c r="Z45" s="129"/>
      <c r="AA45" s="128"/>
      <c r="AB45" s="129"/>
      <c r="AC45" s="128"/>
      <c r="AD45" s="129"/>
      <c r="AE45" s="128"/>
      <c r="AF45" s="129"/>
      <c r="AG45" s="128"/>
      <c r="AH45" s="129"/>
      <c r="AI45" s="128"/>
      <c r="AJ45" s="129"/>
      <c r="AK45" s="128"/>
      <c r="AL45" s="129"/>
      <c r="AM45" s="128"/>
      <c r="AN45" s="129"/>
      <c r="AO45" s="128"/>
      <c r="AP45" s="129"/>
      <c r="AQ45" s="128"/>
      <c r="AR45" s="129"/>
      <c r="AS45" s="128"/>
      <c r="AT45" s="129"/>
      <c r="AU45" s="128"/>
      <c r="AV45" s="129"/>
      <c r="AW45" s="128"/>
      <c r="AX45" s="129"/>
      <c r="AY45" s="128"/>
      <c r="AZ45" s="129"/>
      <c r="BA45" s="128"/>
      <c r="BB45" s="129"/>
      <c r="BC45" s="128"/>
      <c r="BD45" s="129"/>
      <c r="BE45" s="128"/>
      <c r="BF45" s="129"/>
      <c r="BG45" s="128"/>
      <c r="BH45" s="129"/>
      <c r="BI45" s="128"/>
      <c r="BJ45" s="129"/>
      <c r="BK45" s="128"/>
      <c r="BL45" s="129"/>
      <c r="BM45" s="128"/>
      <c r="BN45" s="129"/>
      <c r="BO45" s="128"/>
      <c r="BP45" s="129"/>
      <c r="BQ45" s="128"/>
      <c r="BR45" s="129"/>
      <c r="BS45" s="128"/>
      <c r="BT45" s="129"/>
      <c r="BU45" s="128"/>
      <c r="BV45" s="129"/>
      <c r="BW45" s="128"/>
      <c r="BX45" s="129"/>
      <c r="BY45" s="128"/>
      <c r="BZ45" s="129"/>
      <c r="CA45" s="128"/>
      <c r="CB45" s="129"/>
      <c r="CC45" s="128"/>
      <c r="CD45" s="129"/>
      <c r="CE45" s="128"/>
      <c r="CF45" s="129"/>
      <c r="CG45" s="128"/>
      <c r="CH45" s="129"/>
      <c r="CI45" s="128"/>
      <c r="CJ45" s="129"/>
      <c r="CK45" s="128"/>
      <c r="CL45" s="129"/>
      <c r="CM45" s="128"/>
      <c r="CN45" s="129"/>
      <c r="CO45" s="128"/>
      <c r="CP45" s="129"/>
      <c r="CQ45" s="128"/>
      <c r="CR45" s="129"/>
      <c r="CS45" s="128"/>
      <c r="CT45" s="129"/>
      <c r="CU45" s="128"/>
      <c r="CV45" s="129"/>
      <c r="CW45" s="128"/>
      <c r="CX45" s="129"/>
      <c r="CY45" s="128"/>
      <c r="CZ45" s="129"/>
      <c r="DA45" s="128"/>
      <c r="DB45" s="129"/>
      <c r="DC45" s="128"/>
      <c r="DD45" s="129"/>
      <c r="DE45" s="128"/>
      <c r="DF45" s="129"/>
      <c r="DG45" s="128"/>
      <c r="DH45" s="129"/>
      <c r="DI45" s="128"/>
      <c r="DJ45" s="129"/>
      <c r="DK45" s="128"/>
      <c r="DL45" s="129"/>
      <c r="DM45" s="128"/>
      <c r="DN45" s="129"/>
      <c r="DO45" s="128"/>
      <c r="DP45" s="129"/>
      <c r="DQ45" s="128"/>
      <c r="DR45" s="129"/>
      <c r="DS45" s="128"/>
      <c r="DT45" s="129"/>
      <c r="DU45" s="128"/>
      <c r="DV45" s="129"/>
      <c r="DW45" s="128"/>
      <c r="DX45" s="129"/>
      <c r="DY45" s="128"/>
      <c r="DZ45" s="129"/>
      <c r="EA45" s="128"/>
      <c r="EB45" s="129"/>
      <c r="EC45" s="128"/>
      <c r="ED45" s="129"/>
      <c r="EE45" s="128"/>
      <c r="EF45" s="129"/>
      <c r="EG45" s="128"/>
      <c r="EH45" s="129"/>
      <c r="EI45" s="128"/>
      <c r="EJ45" s="129"/>
      <c r="EK45" s="128"/>
      <c r="EL45" s="129"/>
      <c r="EM45" s="128"/>
      <c r="EN45" s="129"/>
      <c r="EO45" s="128"/>
      <c r="EP45" s="129"/>
      <c r="EQ45" s="128"/>
      <c r="ER45" s="129"/>
      <c r="ES45" s="128"/>
      <c r="ET45" s="129"/>
      <c r="EU45" s="128"/>
      <c r="EV45" s="129"/>
      <c r="EW45" s="128"/>
      <c r="EX45" s="129"/>
      <c r="EY45" s="128"/>
      <c r="EZ45" s="129"/>
      <c r="FA45" s="128"/>
      <c r="FB45" s="129"/>
      <c r="FC45" s="128"/>
      <c r="FD45" s="129"/>
      <c r="FE45" s="128"/>
      <c r="FF45" s="129"/>
      <c r="FG45" s="128"/>
      <c r="FH45" s="129"/>
      <c r="FI45" s="128"/>
      <c r="FJ45" s="129"/>
      <c r="FK45" s="128"/>
      <c r="FL45" s="129"/>
      <c r="FM45" s="128"/>
      <c r="FN45" s="129"/>
      <c r="FO45" s="128"/>
      <c r="FP45" s="129"/>
      <c r="FQ45" s="128"/>
      <c r="FR45" s="129"/>
      <c r="FS45" s="128"/>
      <c r="FT45" s="129"/>
      <c r="FU45" s="128"/>
      <c r="FV45" s="129"/>
      <c r="FW45" s="128"/>
      <c r="FX45" s="129"/>
      <c r="FY45" s="128"/>
      <c r="FZ45" s="129"/>
      <c r="GA45" s="128"/>
      <c r="GB45" s="129"/>
      <c r="GC45" s="128"/>
      <c r="GD45" s="129"/>
      <c r="GE45" s="128"/>
      <c r="GF45" s="129"/>
      <c r="GG45" s="128"/>
      <c r="GH45" s="129"/>
      <c r="GI45" s="128"/>
      <c r="GJ45" s="129"/>
      <c r="GK45" s="128"/>
      <c r="GL45" s="129"/>
      <c r="GM45" s="128"/>
      <c r="GN45" s="129"/>
      <c r="GO45" s="128"/>
      <c r="GP45" s="129"/>
      <c r="GQ45" s="128"/>
      <c r="GR45" s="129"/>
      <c r="GS45" s="128"/>
      <c r="GT45" s="129"/>
      <c r="GU45" s="128"/>
      <c r="GV45" s="129"/>
      <c r="GW45" s="128"/>
      <c r="GX45" s="129"/>
      <c r="GY45" s="128"/>
      <c r="GZ45" s="129"/>
      <c r="HA45" s="128"/>
      <c r="HB45" s="129"/>
      <c r="HC45" s="128"/>
      <c r="HD45" s="129"/>
      <c r="HE45" s="128"/>
      <c r="HF45" s="129"/>
      <c r="HG45" s="128"/>
      <c r="HH45" s="129"/>
      <c r="HI45" s="128"/>
      <c r="HJ45" s="129"/>
      <c r="HK45" s="128"/>
      <c r="HL45" s="129"/>
      <c r="HM45" s="128"/>
      <c r="HN45" s="129"/>
      <c r="HO45" s="128"/>
      <c r="HP45" s="129"/>
      <c r="HQ45" s="128"/>
      <c r="HR45" s="129"/>
      <c r="HS45" s="128"/>
      <c r="HT45" s="129"/>
      <c r="HU45" s="128"/>
      <c r="HV45" s="129"/>
      <c r="HW45" s="128"/>
      <c r="HX45" s="129"/>
      <c r="HY45" s="128"/>
      <c r="HZ45" s="129"/>
      <c r="IA45" s="128"/>
      <c r="IB45" s="129"/>
      <c r="IC45" s="128"/>
      <c r="ID45" s="129"/>
      <c r="IE45" s="128"/>
      <c r="IF45" s="129"/>
      <c r="IG45" s="128"/>
      <c r="IH45" s="129"/>
      <c r="II45" s="128"/>
      <c r="IJ45" s="129"/>
      <c r="IK45" s="128"/>
      <c r="IL45" s="129"/>
      <c r="IM45" s="128"/>
      <c r="IN45" s="129"/>
      <c r="IO45" s="128"/>
      <c r="IP45" s="129"/>
      <c r="IQ45" s="128"/>
      <c r="IR45" s="129"/>
      <c r="IS45" s="128"/>
      <c r="IT45" s="129"/>
      <c r="IU45" s="128"/>
      <c r="IV45" s="129"/>
      <c r="IW45" s="128"/>
      <c r="IX45" s="129"/>
      <c r="IY45" s="128"/>
      <c r="IZ45" s="129"/>
      <c r="JA45" s="128"/>
      <c r="JB45" s="129"/>
      <c r="JC45" s="128"/>
      <c r="JD45" s="129"/>
      <c r="JE45" s="128"/>
      <c r="JF45" s="129"/>
      <c r="JG45" s="128"/>
      <c r="JH45" s="129"/>
      <c r="JI45" s="128"/>
      <c r="JJ45" s="129"/>
      <c r="JK45" s="128"/>
      <c r="JL45" s="129"/>
      <c r="JM45" s="128"/>
      <c r="JN45" s="129"/>
      <c r="JO45" s="128"/>
      <c r="JP45" s="129"/>
      <c r="JQ45" s="128"/>
      <c r="JR45" s="129"/>
      <c r="JS45" s="128"/>
      <c r="JT45" s="129"/>
      <c r="JU45" s="128"/>
      <c r="JV45" s="129"/>
      <c r="JW45" s="128"/>
      <c r="JX45" s="129"/>
      <c r="JY45" s="128"/>
      <c r="JZ45" s="129"/>
      <c r="KA45" s="128"/>
      <c r="KB45" s="129"/>
      <c r="KC45" s="128"/>
      <c r="KD45" s="129"/>
      <c r="KE45" s="128"/>
      <c r="KF45" s="129"/>
      <c r="KG45" s="128"/>
      <c r="KH45" s="129"/>
      <c r="KI45" s="128"/>
      <c r="KJ45" s="129"/>
      <c r="KK45" s="128"/>
      <c r="KL45" s="129"/>
      <c r="KM45" s="128"/>
      <c r="KN45" s="129"/>
      <c r="KO45" s="128"/>
      <c r="KP45" s="129"/>
      <c r="KQ45" s="128"/>
      <c r="KR45" s="129"/>
      <c r="KS45" s="128"/>
      <c r="KT45" s="129"/>
      <c r="KU45" s="128"/>
      <c r="KV45" s="129"/>
      <c r="KW45" s="128"/>
      <c r="KX45" s="129"/>
      <c r="KY45" s="128"/>
      <c r="KZ45" s="129"/>
      <c r="LA45" s="128"/>
      <c r="LB45" s="129"/>
      <c r="LC45" s="128"/>
      <c r="LD45" s="129"/>
      <c r="LE45" s="128"/>
      <c r="LF45" s="129"/>
      <c r="LG45" s="128"/>
      <c r="LH45" s="129"/>
      <c r="LI45" s="128"/>
      <c r="LJ45" s="129"/>
      <c r="LK45" s="128"/>
      <c r="LL45" s="129"/>
      <c r="LM45" s="128"/>
      <c r="LN45" s="129"/>
      <c r="LO45" s="128"/>
      <c r="LP45" s="129"/>
      <c r="LQ45" s="128"/>
      <c r="LR45" s="129"/>
      <c r="LS45" s="128"/>
      <c r="LT45" s="129"/>
      <c r="LU45" s="128"/>
      <c r="LV45" s="129"/>
      <c r="LW45" s="128"/>
      <c r="LX45" s="129"/>
      <c r="LY45" s="128"/>
      <c r="LZ45" s="129"/>
      <c r="MA45" s="128"/>
      <c r="MB45" s="129"/>
      <c r="MC45" s="128"/>
      <c r="MD45" s="129"/>
      <c r="ME45" s="128"/>
      <c r="MF45" s="129"/>
      <c r="MG45" s="128"/>
      <c r="MH45" s="129"/>
      <c r="MI45" s="128"/>
      <c r="MJ45" s="129"/>
      <c r="MK45" s="128"/>
      <c r="ML45" s="129"/>
      <c r="MM45" s="128"/>
      <c r="MN45" s="129"/>
      <c r="MO45" s="128"/>
      <c r="MP45" s="129"/>
      <c r="MQ45" s="128"/>
      <c r="MR45" s="129"/>
      <c r="MS45" s="128"/>
      <c r="MT45" s="129"/>
      <c r="MU45" s="128"/>
      <c r="MV45" s="129"/>
      <c r="MW45" s="128"/>
      <c r="MX45" s="129"/>
      <c r="MY45" s="128"/>
      <c r="MZ45" s="129"/>
      <c r="NA45" s="128"/>
      <c r="NB45" s="129"/>
      <c r="NC45" s="128"/>
      <c r="ND45" s="129"/>
      <c r="NE45" s="128"/>
      <c r="NF45" s="129"/>
      <c r="NG45" s="128"/>
      <c r="NH45" s="129"/>
      <c r="NI45" s="128"/>
      <c r="NJ45" s="129"/>
      <c r="NK45" s="128"/>
      <c r="NL45" s="129"/>
      <c r="NM45" s="128"/>
      <c r="NN45" s="129"/>
      <c r="NO45" s="128"/>
      <c r="NP45" s="129"/>
      <c r="NQ45" s="128"/>
      <c r="NR45" s="129"/>
      <c r="NS45" s="128"/>
      <c r="NT45" s="129"/>
      <c r="NU45" s="128"/>
      <c r="NV45" s="129"/>
      <c r="NW45" s="128"/>
      <c r="NX45" s="129"/>
      <c r="NY45" s="128"/>
      <c r="NZ45" s="129"/>
      <c r="OA45" s="128"/>
      <c r="OB45" s="129"/>
      <c r="OC45" s="128"/>
      <c r="OD45" s="129"/>
      <c r="OE45" s="128"/>
      <c r="OF45" s="129"/>
      <c r="OG45" s="128"/>
      <c r="OH45" s="129"/>
      <c r="OI45" s="128"/>
      <c r="OJ45" s="129"/>
      <c r="OK45" s="128"/>
      <c r="OL45" s="129"/>
      <c r="OM45" s="128"/>
      <c r="ON45" s="129"/>
      <c r="OO45" s="128"/>
      <c r="OP45" s="129"/>
      <c r="OQ45" s="128"/>
      <c r="OR45" s="129"/>
      <c r="OS45" s="128"/>
      <c r="OT45" s="129"/>
      <c r="OU45" s="128"/>
      <c r="OV45" s="129"/>
      <c r="OW45" s="128"/>
      <c r="OX45" s="129"/>
      <c r="OY45" s="128"/>
      <c r="OZ45" s="129"/>
      <c r="PA45" s="128"/>
      <c r="PB45" s="129"/>
      <c r="PC45" s="128"/>
      <c r="PD45" s="129"/>
      <c r="PE45" s="128"/>
      <c r="PF45" s="129"/>
      <c r="PG45" s="128"/>
      <c r="PH45" s="129"/>
      <c r="PI45" s="128"/>
      <c r="PJ45" s="129"/>
      <c r="PK45" s="128"/>
      <c r="PL45" s="129"/>
      <c r="PM45" s="128"/>
      <c r="PN45" s="129"/>
      <c r="PO45" s="128"/>
      <c r="PP45" s="129"/>
      <c r="PQ45" s="128"/>
      <c r="PR45" s="129"/>
      <c r="PS45" s="128"/>
      <c r="PT45" s="129"/>
      <c r="PU45" s="128"/>
      <c r="PV45" s="129"/>
      <c r="PW45" s="128"/>
      <c r="PX45" s="129"/>
      <c r="PY45" s="128"/>
      <c r="PZ45" s="129"/>
      <c r="QA45" s="128"/>
      <c r="QB45" s="129"/>
      <c r="QC45" s="128"/>
      <c r="QD45" s="129"/>
      <c r="QE45" s="128"/>
      <c r="QF45" s="129"/>
      <c r="QG45" s="128"/>
      <c r="QH45" s="129"/>
      <c r="QI45" s="128"/>
      <c r="QJ45" s="129"/>
      <c r="QK45" s="128"/>
      <c r="QL45" s="129"/>
      <c r="QM45" s="128"/>
      <c r="QN45" s="129"/>
      <c r="QO45" s="128"/>
      <c r="QP45" s="129"/>
      <c r="QQ45" s="128"/>
      <c r="QR45" s="129"/>
      <c r="QS45" s="128"/>
      <c r="QT45" s="129"/>
      <c r="QU45" s="128"/>
      <c r="QV45" s="129"/>
      <c r="QW45" s="128"/>
      <c r="QX45" s="129"/>
      <c r="QY45" s="128"/>
      <c r="QZ45" s="129"/>
      <c r="RA45" s="128"/>
      <c r="RB45" s="129"/>
      <c r="RC45" s="128"/>
      <c r="RD45" s="129"/>
      <c r="RE45" s="128"/>
      <c r="RF45" s="129"/>
      <c r="RG45" s="128"/>
      <c r="RH45" s="129"/>
      <c r="RI45" s="128"/>
      <c r="RJ45" s="129"/>
      <c r="RK45" s="128"/>
      <c r="RL45" s="129"/>
      <c r="RM45" s="128"/>
      <c r="RN45" s="129"/>
      <c r="RO45" s="128"/>
      <c r="RP45" s="129"/>
      <c r="RQ45" s="128"/>
      <c r="RR45" s="129"/>
      <c r="RS45" s="128"/>
      <c r="RT45" s="129"/>
      <c r="RU45" s="128"/>
      <c r="RV45" s="129"/>
      <c r="RW45" s="128"/>
      <c r="RX45" s="129"/>
      <c r="RY45" s="128"/>
      <c r="RZ45" s="129"/>
      <c r="SA45" s="128"/>
      <c r="SB45" s="129"/>
      <c r="SC45" s="128"/>
      <c r="SD45" s="129"/>
      <c r="SE45" s="128"/>
      <c r="SF45" s="129"/>
      <c r="SG45" s="128"/>
      <c r="SH45" s="129"/>
      <c r="SI45" s="128"/>
      <c r="SJ45" s="129"/>
      <c r="SK45" s="128"/>
      <c r="SL45" s="129"/>
      <c r="SM45" s="128"/>
      <c r="SN45" s="129"/>
      <c r="SO45" s="128"/>
      <c r="SP45" s="129"/>
      <c r="SQ45" s="128"/>
      <c r="SR45" s="129"/>
      <c r="SS45" s="128"/>
      <c r="ST45" s="129"/>
      <c r="SU45" s="128"/>
      <c r="SV45" s="129"/>
      <c r="SW45" s="128"/>
      <c r="SX45" s="129"/>
      <c r="SY45" s="128"/>
      <c r="SZ45" s="129"/>
      <c r="TA45" s="128"/>
      <c r="TB45" s="129"/>
      <c r="TC45" s="128"/>
      <c r="TD45" s="129"/>
      <c r="TE45" s="128"/>
      <c r="TF45" s="129"/>
      <c r="TG45" s="128"/>
      <c r="TH45" s="129"/>
      <c r="TI45" s="128"/>
      <c r="TJ45" s="129"/>
      <c r="TK45" s="128"/>
      <c r="TL45" s="129"/>
      <c r="TM45" s="128"/>
      <c r="TN45" s="129"/>
      <c r="TO45" s="128"/>
      <c r="TP45" s="129"/>
      <c r="TQ45" s="128"/>
      <c r="TR45" s="129"/>
      <c r="TS45" s="128"/>
      <c r="TT45" s="129"/>
      <c r="TU45" s="128"/>
      <c r="TV45" s="129"/>
      <c r="TW45" s="128"/>
      <c r="TX45" s="129"/>
      <c r="TY45" s="128"/>
      <c r="TZ45" s="129"/>
      <c r="UA45" s="128"/>
      <c r="UB45" s="129"/>
      <c r="UC45" s="128"/>
      <c r="UD45" s="129"/>
      <c r="UE45" s="128"/>
      <c r="UF45" s="129"/>
      <c r="UG45" s="128"/>
      <c r="UH45" s="129"/>
      <c r="UI45" s="128"/>
      <c r="UJ45" s="129"/>
      <c r="UK45" s="128"/>
      <c r="UL45" s="129"/>
      <c r="UM45" s="128"/>
      <c r="UN45" s="129"/>
      <c r="UO45" s="128"/>
      <c r="UP45" s="129"/>
      <c r="UQ45" s="128"/>
      <c r="UR45" s="129"/>
      <c r="US45" s="128"/>
      <c r="UT45" s="129"/>
      <c r="UU45" s="128"/>
      <c r="UV45" s="129"/>
      <c r="UW45" s="128"/>
      <c r="UX45" s="129"/>
      <c r="UY45" s="128"/>
      <c r="UZ45" s="129"/>
      <c r="VA45" s="128"/>
      <c r="VB45" s="129"/>
      <c r="VC45" s="128"/>
      <c r="VD45" s="129"/>
      <c r="VE45" s="128"/>
      <c r="VF45" s="129"/>
      <c r="VG45" s="128"/>
      <c r="VH45" s="129"/>
      <c r="VI45" s="128"/>
      <c r="VJ45" s="129"/>
      <c r="VK45" s="128"/>
      <c r="VL45" s="129"/>
      <c r="VM45" s="128"/>
      <c r="VN45" s="129"/>
      <c r="VO45" s="128"/>
      <c r="VP45" s="129"/>
      <c r="VQ45" s="128"/>
      <c r="VR45" s="129"/>
      <c r="VS45" s="128"/>
      <c r="VT45" s="129"/>
      <c r="VU45" s="128"/>
      <c r="VV45" s="129"/>
      <c r="VW45" s="128"/>
      <c r="VX45" s="129"/>
      <c r="VY45" s="128"/>
      <c r="VZ45" s="129"/>
      <c r="WA45" s="128"/>
      <c r="WB45" s="129"/>
      <c r="WC45" s="128"/>
      <c r="WD45" s="129"/>
      <c r="WE45" s="128"/>
      <c r="WF45" s="129"/>
      <c r="WG45" s="128"/>
      <c r="WH45" s="129"/>
      <c r="WI45" s="128"/>
      <c r="WJ45" s="129"/>
      <c r="WK45" s="128"/>
      <c r="WL45" s="129"/>
      <c r="WM45" s="128"/>
      <c r="WN45" s="129"/>
      <c r="WO45" s="128"/>
      <c r="WP45" s="129"/>
      <c r="WQ45" s="128"/>
      <c r="WR45" s="129"/>
      <c r="WS45" s="128"/>
      <c r="WT45" s="129"/>
      <c r="WU45" s="128"/>
      <c r="WV45" s="129"/>
      <c r="WW45" s="128"/>
      <c r="WX45" s="129"/>
      <c r="WY45" s="128"/>
      <c r="WZ45" s="129"/>
      <c r="XA45" s="128"/>
      <c r="XB45" s="129"/>
      <c r="XC45" s="128"/>
      <c r="XD45" s="129"/>
      <c r="XE45" s="128"/>
      <c r="XF45" s="129"/>
      <c r="XG45" s="128"/>
      <c r="XH45" s="129"/>
      <c r="XI45" s="128"/>
      <c r="XJ45" s="129"/>
      <c r="XK45" s="128"/>
      <c r="XL45" s="129"/>
      <c r="XM45" s="128"/>
      <c r="XN45" s="129"/>
      <c r="XO45" s="128"/>
      <c r="XP45" s="129"/>
      <c r="XQ45" s="128"/>
      <c r="XR45" s="129"/>
      <c r="XS45" s="128"/>
      <c r="XT45" s="129"/>
      <c r="XU45" s="128"/>
      <c r="XV45" s="129"/>
      <c r="XW45" s="128"/>
      <c r="XX45" s="129"/>
      <c r="XY45" s="128"/>
      <c r="XZ45" s="129"/>
      <c r="YA45" s="128"/>
      <c r="YB45" s="129"/>
      <c r="YC45" s="128"/>
      <c r="YD45" s="129"/>
      <c r="YE45" s="128"/>
      <c r="YF45" s="129"/>
      <c r="YG45" s="128"/>
      <c r="YH45" s="129"/>
      <c r="YI45" s="128"/>
      <c r="YJ45" s="129"/>
      <c r="YK45" s="128"/>
      <c r="YL45" s="129"/>
      <c r="YM45" s="128"/>
      <c r="YN45" s="129"/>
      <c r="YO45" s="128"/>
      <c r="YP45" s="129"/>
      <c r="YQ45" s="128"/>
      <c r="YR45" s="129"/>
      <c r="YS45" s="128"/>
      <c r="YT45" s="129"/>
      <c r="YU45" s="128"/>
      <c r="YV45" s="129"/>
      <c r="YW45" s="128"/>
      <c r="YX45" s="129"/>
      <c r="YY45" s="128"/>
      <c r="YZ45" s="129"/>
      <c r="ZA45" s="128"/>
      <c r="ZB45" s="129"/>
      <c r="ZC45" s="128"/>
      <c r="ZD45" s="129"/>
      <c r="ZE45" s="128"/>
      <c r="ZF45" s="129"/>
      <c r="ZG45" s="128"/>
      <c r="ZH45" s="129"/>
      <c r="ZI45" s="128"/>
      <c r="ZJ45" s="129"/>
      <c r="ZK45" s="128"/>
      <c r="ZL45" s="129"/>
      <c r="ZM45" s="128"/>
      <c r="ZN45" s="129"/>
      <c r="ZO45" s="128"/>
      <c r="ZP45" s="129"/>
      <c r="ZQ45" s="128"/>
      <c r="ZR45" s="129"/>
      <c r="ZS45" s="128"/>
      <c r="ZT45" s="129"/>
      <c r="ZU45" s="128"/>
      <c r="ZV45" s="129"/>
      <c r="ZW45" s="128"/>
      <c r="ZX45" s="129"/>
      <c r="ZY45" s="128"/>
      <c r="ZZ45" s="129"/>
      <c r="AAA45" s="128"/>
      <c r="AAB45" s="129"/>
      <c r="AAC45" s="128"/>
      <c r="AAD45" s="129"/>
      <c r="AAE45" s="128"/>
      <c r="AAF45" s="129"/>
      <c r="AAG45" s="128"/>
      <c r="AAH45" s="129"/>
      <c r="AAI45" s="128"/>
      <c r="AAJ45" s="129"/>
      <c r="AAK45" s="128"/>
      <c r="AAL45" s="129"/>
      <c r="AAM45" s="128"/>
      <c r="AAN45" s="129"/>
      <c r="AAO45" s="128"/>
      <c r="AAP45" s="129"/>
      <c r="AAQ45" s="128"/>
      <c r="AAR45" s="129"/>
      <c r="AAS45" s="128"/>
      <c r="AAT45" s="129"/>
      <c r="AAU45" s="128"/>
      <c r="AAV45" s="129"/>
      <c r="AAW45" s="128"/>
      <c r="AAX45" s="129"/>
      <c r="AAY45" s="128"/>
      <c r="AAZ45" s="129"/>
      <c r="ABA45" s="128"/>
      <c r="ABB45" s="129"/>
      <c r="ABC45" s="128"/>
      <c r="ABD45" s="129"/>
      <c r="ABE45" s="128"/>
      <c r="ABF45" s="129"/>
      <c r="ABG45" s="128"/>
      <c r="ABH45" s="129"/>
      <c r="ABI45" s="128"/>
      <c r="ABJ45" s="129"/>
      <c r="ABK45" s="128"/>
      <c r="ABL45" s="129"/>
      <c r="ABM45" s="128"/>
      <c r="ABN45" s="129"/>
      <c r="ABO45" s="128"/>
      <c r="ABP45" s="129"/>
      <c r="ABQ45" s="128"/>
      <c r="ABR45" s="129"/>
      <c r="ABS45" s="128"/>
      <c r="ABT45" s="129"/>
      <c r="ABU45" s="128"/>
      <c r="ABV45" s="129"/>
      <c r="ABW45" s="128"/>
      <c r="ABX45" s="129"/>
      <c r="ABY45" s="128"/>
      <c r="ABZ45" s="129"/>
      <c r="ACA45" s="128"/>
      <c r="ACB45" s="129"/>
      <c r="ACC45" s="128"/>
      <c r="ACD45" s="129"/>
      <c r="ACE45" s="128"/>
      <c r="ACF45" s="129"/>
      <c r="ACG45" s="128"/>
      <c r="ACH45" s="129"/>
      <c r="ACI45" s="128"/>
      <c r="ACJ45" s="129"/>
      <c r="ACK45" s="128"/>
      <c r="ACL45" s="129"/>
      <c r="ACM45" s="128"/>
      <c r="ACN45" s="129"/>
      <c r="ACO45" s="128"/>
      <c r="ACP45" s="129"/>
      <c r="ACQ45" s="128"/>
      <c r="ACR45" s="129"/>
      <c r="ACS45" s="128"/>
      <c r="ACT45" s="129"/>
      <c r="ACU45" s="128"/>
      <c r="ACV45" s="129"/>
      <c r="ACW45" s="128"/>
      <c r="ACX45" s="129"/>
      <c r="ACY45" s="128"/>
      <c r="ACZ45" s="129"/>
      <c r="ADA45" s="128"/>
      <c r="ADB45" s="129"/>
      <c r="ADC45" s="128"/>
      <c r="ADD45" s="129"/>
      <c r="ADE45" s="128"/>
      <c r="ADF45" s="129"/>
      <c r="ADG45" s="128"/>
      <c r="ADH45" s="129"/>
      <c r="ADI45" s="128"/>
      <c r="ADJ45" s="129"/>
      <c r="ADK45" s="128"/>
      <c r="ADL45" s="129"/>
      <c r="ADM45" s="128"/>
      <c r="ADN45" s="129"/>
      <c r="ADO45" s="128"/>
      <c r="ADP45" s="129"/>
      <c r="ADQ45" s="128"/>
      <c r="ADR45" s="129"/>
      <c r="ADS45" s="128"/>
      <c r="ADT45" s="129"/>
      <c r="ADU45" s="128"/>
      <c r="ADV45" s="129"/>
      <c r="ADW45" s="128"/>
      <c r="ADX45" s="129"/>
      <c r="ADY45" s="128"/>
      <c r="ADZ45" s="129"/>
      <c r="AEA45" s="128"/>
      <c r="AEB45" s="129"/>
      <c r="AEC45" s="128"/>
      <c r="AED45" s="129"/>
      <c r="AEE45" s="128"/>
      <c r="AEF45" s="129"/>
      <c r="AEG45" s="128"/>
      <c r="AEH45" s="129"/>
      <c r="AEI45" s="128"/>
      <c r="AEJ45" s="129"/>
      <c r="AEK45" s="128"/>
      <c r="AEL45" s="129"/>
      <c r="AEM45" s="128"/>
      <c r="AEN45" s="129"/>
      <c r="AEO45" s="128"/>
      <c r="AEP45" s="129"/>
      <c r="AEQ45" s="128"/>
      <c r="AER45" s="129"/>
      <c r="AES45" s="128"/>
      <c r="AET45" s="129"/>
      <c r="AEU45" s="128"/>
      <c r="AEV45" s="129"/>
      <c r="AEW45" s="128"/>
      <c r="AEX45" s="129"/>
      <c r="AEY45" s="128"/>
      <c r="AEZ45" s="129"/>
      <c r="AFA45" s="128"/>
      <c r="AFB45" s="129"/>
      <c r="AFC45" s="128"/>
      <c r="AFD45" s="129"/>
      <c r="AFE45" s="128"/>
      <c r="AFF45" s="129"/>
      <c r="AFG45" s="128"/>
      <c r="AFH45" s="129"/>
      <c r="AFI45" s="128"/>
      <c r="AFJ45" s="129"/>
      <c r="AFK45" s="128"/>
      <c r="AFL45" s="129"/>
      <c r="AFM45" s="128"/>
      <c r="AFN45" s="129"/>
      <c r="AFO45" s="128"/>
      <c r="AFP45" s="129"/>
      <c r="AFQ45" s="128"/>
      <c r="AFR45" s="129"/>
      <c r="AFS45" s="128"/>
      <c r="AFT45" s="129"/>
      <c r="AFU45" s="128"/>
      <c r="AFV45" s="129"/>
      <c r="AFW45" s="128"/>
      <c r="AFX45" s="129"/>
      <c r="AFY45" s="128"/>
      <c r="AFZ45" s="129"/>
      <c r="AGA45" s="128"/>
      <c r="AGB45" s="129"/>
      <c r="AGC45" s="128"/>
      <c r="AGD45" s="129"/>
      <c r="AGE45" s="128"/>
      <c r="AGF45" s="129"/>
      <c r="AGG45" s="128"/>
      <c r="AGH45" s="129"/>
      <c r="AGI45" s="128"/>
      <c r="AGJ45" s="129"/>
      <c r="AGK45" s="128"/>
      <c r="AGL45" s="129"/>
      <c r="AGM45" s="128"/>
      <c r="AGN45" s="129"/>
      <c r="AGO45" s="128"/>
      <c r="AGP45" s="129"/>
      <c r="AGQ45" s="128"/>
      <c r="AGR45" s="129"/>
      <c r="AGS45" s="128"/>
      <c r="AGT45" s="129"/>
      <c r="AGU45" s="128"/>
      <c r="AGV45" s="129"/>
      <c r="AGW45" s="128"/>
      <c r="AGX45" s="129"/>
      <c r="AGY45" s="128"/>
      <c r="AGZ45" s="129"/>
      <c r="AHA45" s="128"/>
      <c r="AHB45" s="129"/>
      <c r="AHC45" s="128"/>
      <c r="AHD45" s="129"/>
      <c r="AHE45" s="128"/>
      <c r="AHF45" s="129"/>
      <c r="AHG45" s="128"/>
      <c r="AHH45" s="129"/>
      <c r="AHI45" s="128"/>
      <c r="AHJ45" s="129"/>
      <c r="AHK45" s="128"/>
      <c r="AHL45" s="129"/>
      <c r="AHM45" s="128"/>
      <c r="AHN45" s="129"/>
      <c r="AHO45" s="128"/>
      <c r="AHP45" s="129"/>
      <c r="AHQ45" s="128"/>
      <c r="AHR45" s="129"/>
      <c r="AHS45" s="128"/>
      <c r="AHT45" s="129"/>
      <c r="AHU45" s="128"/>
      <c r="AHV45" s="129"/>
      <c r="AHW45" s="128"/>
      <c r="AHX45" s="129"/>
      <c r="AHY45" s="128"/>
      <c r="AHZ45" s="129"/>
      <c r="AIA45" s="128"/>
      <c r="AIB45" s="129"/>
      <c r="AIC45" s="128"/>
      <c r="AID45" s="129"/>
      <c r="AIE45" s="128"/>
      <c r="AIF45" s="129"/>
      <c r="AIG45" s="128"/>
      <c r="AIH45" s="129"/>
      <c r="AII45" s="128"/>
      <c r="AIJ45" s="129"/>
      <c r="AIK45" s="128"/>
      <c r="AIL45" s="129"/>
      <c r="AIM45" s="128"/>
      <c r="AIN45" s="129"/>
      <c r="AIO45" s="128"/>
      <c r="AIP45" s="129"/>
      <c r="AIQ45" s="128"/>
      <c r="AIR45" s="129"/>
      <c r="AIS45" s="128"/>
      <c r="AIT45" s="129"/>
      <c r="AIU45" s="128"/>
      <c r="AIV45" s="129"/>
      <c r="AIW45" s="128"/>
      <c r="AIX45" s="129"/>
      <c r="AIY45" s="128"/>
      <c r="AIZ45" s="129"/>
      <c r="AJA45" s="128"/>
      <c r="AJB45" s="129"/>
      <c r="AJC45" s="128"/>
      <c r="AJD45" s="129"/>
      <c r="AJE45" s="128"/>
      <c r="AJF45" s="129"/>
      <c r="AJG45" s="128"/>
      <c r="AJH45" s="129"/>
      <c r="AJI45" s="128"/>
      <c r="AJJ45" s="129"/>
      <c r="AJK45" s="128"/>
      <c r="AJL45" s="129"/>
      <c r="AJM45" s="128"/>
      <c r="AJN45" s="129"/>
      <c r="AJO45" s="128"/>
      <c r="AJP45" s="129"/>
      <c r="AJQ45" s="128"/>
      <c r="AJR45" s="129"/>
      <c r="AJS45" s="128"/>
      <c r="AJT45" s="129"/>
      <c r="AJU45" s="128"/>
      <c r="AJV45" s="129"/>
      <c r="AJW45" s="128"/>
      <c r="AJX45" s="129"/>
      <c r="AJY45" s="128"/>
      <c r="AJZ45" s="129"/>
      <c r="AKA45" s="128"/>
      <c r="AKB45" s="129"/>
      <c r="AKC45" s="128"/>
      <c r="AKD45" s="129"/>
      <c r="AKE45" s="128"/>
      <c r="AKF45" s="129"/>
      <c r="AKG45" s="128"/>
      <c r="AKH45" s="129"/>
      <c r="AKI45" s="128"/>
      <c r="AKJ45" s="129"/>
      <c r="AKK45" s="128"/>
      <c r="AKL45" s="129"/>
      <c r="AKM45" s="128"/>
      <c r="AKN45" s="129"/>
      <c r="AKO45" s="128"/>
      <c r="AKP45" s="129"/>
      <c r="AKQ45" s="128"/>
      <c r="AKR45" s="129"/>
      <c r="AKS45" s="128"/>
      <c r="AKT45" s="129"/>
      <c r="AKU45" s="128"/>
      <c r="AKV45" s="129"/>
      <c r="AKW45" s="128"/>
      <c r="AKX45" s="129"/>
      <c r="AKY45" s="128"/>
      <c r="AKZ45" s="129"/>
      <c r="ALA45" s="128"/>
      <c r="ALB45" s="129"/>
      <c r="ALC45" s="128"/>
      <c r="ALD45" s="129"/>
      <c r="ALE45" s="128"/>
      <c r="ALF45" s="129"/>
      <c r="ALG45" s="128"/>
      <c r="ALH45" s="129"/>
      <c r="ALI45" s="128"/>
      <c r="ALJ45" s="129"/>
      <c r="ALK45" s="128"/>
      <c r="ALL45" s="129"/>
      <c r="ALM45" s="128"/>
      <c r="ALN45" s="129"/>
      <c r="ALO45" s="128"/>
      <c r="ALP45" s="129"/>
      <c r="ALQ45" s="128"/>
      <c r="ALR45" s="129"/>
      <c r="ALS45" s="128"/>
      <c r="ALT45" s="129"/>
      <c r="ALU45" s="128"/>
      <c r="ALV45" s="129"/>
      <c r="ALW45" s="128"/>
      <c r="ALX45" s="129"/>
      <c r="ALY45" s="128"/>
      <c r="ALZ45" s="129"/>
      <c r="AMA45" s="128"/>
      <c r="AMB45" s="129"/>
      <c r="AMC45" s="128"/>
      <c r="AMD45" s="129"/>
      <c r="AME45" s="128"/>
      <c r="AMF45" s="129"/>
      <c r="AMG45" s="128"/>
      <c r="AMH45" s="129"/>
      <c r="AMI45" s="128"/>
      <c r="AMJ45" s="129"/>
      <c r="AMK45" s="128"/>
      <c r="AML45" s="129"/>
      <c r="AMM45" s="128"/>
      <c r="AMN45" s="129"/>
      <c r="AMO45" s="128"/>
      <c r="AMP45" s="129"/>
      <c r="AMQ45" s="128"/>
      <c r="AMR45" s="129"/>
      <c r="AMS45" s="128"/>
      <c r="AMT45" s="129"/>
      <c r="AMU45" s="128"/>
      <c r="AMV45" s="129"/>
      <c r="AMW45" s="128"/>
      <c r="AMX45" s="129"/>
      <c r="AMY45" s="128"/>
      <c r="AMZ45" s="129"/>
      <c r="ANA45" s="128"/>
      <c r="ANB45" s="129"/>
      <c r="ANC45" s="128"/>
      <c r="AND45" s="129"/>
      <c r="ANE45" s="128"/>
      <c r="ANF45" s="129"/>
      <c r="ANG45" s="128"/>
      <c r="ANH45" s="129"/>
      <c r="ANI45" s="128"/>
      <c r="ANJ45" s="129"/>
      <c r="ANK45" s="128"/>
      <c r="ANL45" s="129"/>
      <c r="ANM45" s="128"/>
      <c r="ANN45" s="129"/>
      <c r="ANO45" s="128"/>
      <c r="ANP45" s="129"/>
      <c r="ANQ45" s="128"/>
      <c r="ANR45" s="129"/>
      <c r="ANS45" s="128"/>
      <c r="ANT45" s="129"/>
      <c r="ANU45" s="128"/>
      <c r="ANV45" s="129"/>
      <c r="ANW45" s="128"/>
      <c r="ANX45" s="129"/>
      <c r="ANY45" s="128"/>
      <c r="ANZ45" s="129"/>
      <c r="AOA45" s="128"/>
      <c r="AOB45" s="129"/>
      <c r="AOC45" s="128"/>
      <c r="AOD45" s="129"/>
      <c r="AOE45" s="128"/>
      <c r="AOF45" s="129"/>
      <c r="AOG45" s="128"/>
      <c r="AOH45" s="129"/>
      <c r="AOI45" s="128"/>
      <c r="AOJ45" s="129"/>
      <c r="AOK45" s="128"/>
      <c r="AOL45" s="129"/>
      <c r="AOM45" s="128"/>
      <c r="AON45" s="129"/>
      <c r="AOO45" s="128"/>
      <c r="AOP45" s="129"/>
      <c r="AOQ45" s="128"/>
      <c r="AOR45" s="129"/>
      <c r="AOS45" s="128"/>
      <c r="AOT45" s="129"/>
      <c r="AOU45" s="128"/>
      <c r="AOV45" s="129"/>
      <c r="AOW45" s="128"/>
      <c r="AOX45" s="129"/>
      <c r="AOY45" s="128"/>
      <c r="AOZ45" s="129"/>
      <c r="APA45" s="128"/>
      <c r="APB45" s="129"/>
      <c r="APC45" s="128"/>
      <c r="APD45" s="129"/>
      <c r="APE45" s="128"/>
      <c r="APF45" s="129"/>
      <c r="APG45" s="128"/>
      <c r="APH45" s="129"/>
      <c r="API45" s="128"/>
      <c r="APJ45" s="129"/>
      <c r="APK45" s="128"/>
      <c r="APL45" s="129"/>
      <c r="APM45" s="128"/>
      <c r="APN45" s="129"/>
      <c r="APO45" s="128"/>
      <c r="APP45" s="129"/>
      <c r="APQ45" s="128"/>
      <c r="APR45" s="129"/>
      <c r="APS45" s="128"/>
      <c r="APT45" s="129"/>
      <c r="APU45" s="128"/>
      <c r="APV45" s="129"/>
      <c r="APW45" s="128"/>
      <c r="APX45" s="129"/>
      <c r="APY45" s="128"/>
      <c r="APZ45" s="129"/>
      <c r="AQA45" s="128"/>
      <c r="AQB45" s="129"/>
      <c r="AQC45" s="128"/>
      <c r="AQD45" s="129"/>
      <c r="AQE45" s="128"/>
      <c r="AQF45" s="129"/>
      <c r="AQG45" s="128"/>
      <c r="AQH45" s="129"/>
      <c r="AQI45" s="128"/>
      <c r="AQJ45" s="129"/>
      <c r="AQK45" s="128"/>
      <c r="AQL45" s="129"/>
      <c r="AQM45" s="128"/>
      <c r="AQN45" s="129"/>
      <c r="AQO45" s="128"/>
      <c r="AQP45" s="129"/>
      <c r="AQQ45" s="128"/>
      <c r="AQR45" s="129"/>
      <c r="AQS45" s="128"/>
      <c r="AQT45" s="129"/>
      <c r="AQU45" s="128"/>
      <c r="AQV45" s="129"/>
      <c r="AQW45" s="128"/>
      <c r="AQX45" s="129"/>
      <c r="AQY45" s="128"/>
      <c r="AQZ45" s="129"/>
      <c r="ARA45" s="128"/>
      <c r="ARB45" s="129"/>
      <c r="ARC45" s="128"/>
      <c r="ARD45" s="129"/>
      <c r="ARE45" s="128"/>
      <c r="ARF45" s="129"/>
      <c r="ARG45" s="128"/>
      <c r="ARH45" s="129"/>
      <c r="ARI45" s="128"/>
      <c r="ARJ45" s="129"/>
      <c r="ARK45" s="128"/>
      <c r="ARL45" s="129"/>
      <c r="ARM45" s="128"/>
      <c r="ARN45" s="129"/>
      <c r="ARO45" s="128"/>
      <c r="ARP45" s="129"/>
      <c r="ARQ45" s="128"/>
      <c r="ARR45" s="129"/>
      <c r="ARS45" s="128"/>
      <c r="ART45" s="129"/>
      <c r="ARU45" s="128"/>
      <c r="ARV45" s="129"/>
      <c r="ARW45" s="128"/>
      <c r="ARX45" s="129"/>
      <c r="ARY45" s="128"/>
      <c r="ARZ45" s="129"/>
      <c r="ASA45" s="128"/>
      <c r="ASB45" s="129"/>
      <c r="ASC45" s="128"/>
      <c r="ASD45" s="129"/>
      <c r="ASE45" s="128"/>
      <c r="ASF45" s="129"/>
      <c r="ASG45" s="128"/>
      <c r="ASH45" s="129"/>
      <c r="ASI45" s="128"/>
      <c r="ASJ45" s="129"/>
      <c r="ASK45" s="128"/>
      <c r="ASL45" s="129"/>
      <c r="ASM45" s="128"/>
      <c r="ASN45" s="129"/>
      <c r="ASO45" s="128"/>
      <c r="ASP45" s="129"/>
      <c r="ASQ45" s="128"/>
      <c r="ASR45" s="129"/>
      <c r="ASS45" s="128"/>
      <c r="AST45" s="129"/>
      <c r="ASU45" s="128"/>
      <c r="ASV45" s="129"/>
      <c r="ASW45" s="128"/>
      <c r="ASX45" s="129"/>
      <c r="ASY45" s="128"/>
      <c r="ASZ45" s="129"/>
      <c r="ATA45" s="128"/>
      <c r="ATB45" s="129"/>
      <c r="ATC45" s="128"/>
      <c r="ATD45" s="129"/>
      <c r="ATE45" s="128"/>
      <c r="ATF45" s="129"/>
      <c r="ATG45" s="128"/>
      <c r="ATH45" s="129"/>
      <c r="ATI45" s="128"/>
      <c r="ATJ45" s="129"/>
      <c r="ATK45" s="128"/>
      <c r="ATL45" s="129"/>
      <c r="ATM45" s="128"/>
      <c r="ATN45" s="129"/>
      <c r="ATO45" s="128"/>
      <c r="ATP45" s="129"/>
      <c r="ATQ45" s="128"/>
      <c r="ATR45" s="129"/>
      <c r="ATS45" s="128"/>
      <c r="ATT45" s="129"/>
      <c r="ATU45" s="128"/>
      <c r="ATV45" s="129"/>
      <c r="ATW45" s="128"/>
      <c r="ATX45" s="129"/>
      <c r="ATY45" s="128"/>
      <c r="ATZ45" s="129"/>
      <c r="AUA45" s="128"/>
      <c r="AUB45" s="129"/>
      <c r="AUC45" s="128"/>
      <c r="AUD45" s="129"/>
      <c r="AUE45" s="128"/>
      <c r="AUF45" s="129"/>
      <c r="AUG45" s="128"/>
      <c r="AUH45" s="129"/>
      <c r="AUI45" s="128"/>
      <c r="AUJ45" s="129"/>
      <c r="AUK45" s="128"/>
      <c r="AUL45" s="129"/>
      <c r="AUM45" s="128"/>
      <c r="AUN45" s="129"/>
      <c r="AUO45" s="128"/>
      <c r="AUP45" s="129"/>
      <c r="AUQ45" s="128"/>
      <c r="AUR45" s="129"/>
      <c r="AUS45" s="128"/>
      <c r="AUT45" s="129"/>
      <c r="AUU45" s="128"/>
      <c r="AUV45" s="129"/>
      <c r="AUW45" s="128"/>
      <c r="AUX45" s="129"/>
      <c r="AUY45" s="128"/>
      <c r="AUZ45" s="129"/>
      <c r="AVA45" s="128"/>
      <c r="AVB45" s="129"/>
      <c r="AVC45" s="128"/>
      <c r="AVD45" s="129"/>
      <c r="AVE45" s="128"/>
      <c r="AVF45" s="129"/>
      <c r="AVG45" s="128"/>
      <c r="AVH45" s="129"/>
      <c r="AVI45" s="128"/>
      <c r="AVJ45" s="129"/>
      <c r="AVK45" s="128"/>
      <c r="AVL45" s="129"/>
      <c r="AVM45" s="128"/>
      <c r="AVN45" s="129"/>
      <c r="AVO45" s="128"/>
      <c r="AVP45" s="129"/>
      <c r="AVQ45" s="128"/>
      <c r="AVR45" s="129"/>
      <c r="AVS45" s="128"/>
      <c r="AVT45" s="129"/>
      <c r="AVU45" s="128"/>
      <c r="AVV45" s="129"/>
      <c r="AVW45" s="128"/>
      <c r="AVX45" s="129"/>
      <c r="AVY45" s="128"/>
      <c r="AVZ45" s="129"/>
      <c r="AWA45" s="128"/>
      <c r="AWB45" s="129"/>
      <c r="AWC45" s="128"/>
      <c r="AWD45" s="129"/>
      <c r="AWE45" s="128"/>
      <c r="AWF45" s="129"/>
      <c r="AWG45" s="128"/>
      <c r="AWH45" s="129"/>
      <c r="AWI45" s="128"/>
      <c r="AWJ45" s="129"/>
      <c r="AWK45" s="128"/>
      <c r="AWL45" s="129"/>
      <c r="AWM45" s="128"/>
      <c r="AWN45" s="129"/>
      <c r="AWO45" s="128"/>
      <c r="AWP45" s="129"/>
      <c r="AWQ45" s="128"/>
      <c r="AWR45" s="129"/>
      <c r="AWS45" s="128"/>
      <c r="AWT45" s="129"/>
      <c r="AWU45" s="128"/>
      <c r="AWV45" s="129"/>
      <c r="AWW45" s="128"/>
      <c r="AWX45" s="129"/>
      <c r="AWY45" s="128"/>
      <c r="AWZ45" s="129"/>
      <c r="AXA45" s="128"/>
      <c r="AXB45" s="129"/>
      <c r="AXC45" s="128"/>
      <c r="AXD45" s="129"/>
      <c r="AXE45" s="128"/>
      <c r="AXF45" s="129"/>
      <c r="AXG45" s="128"/>
      <c r="AXH45" s="129"/>
      <c r="AXI45" s="128"/>
      <c r="AXJ45" s="129"/>
      <c r="AXK45" s="128"/>
      <c r="AXL45" s="129"/>
      <c r="AXM45" s="128"/>
      <c r="AXN45" s="129"/>
      <c r="AXO45" s="128"/>
      <c r="AXP45" s="129"/>
      <c r="AXQ45" s="128"/>
      <c r="AXR45" s="129"/>
      <c r="AXS45" s="128"/>
      <c r="AXT45" s="129"/>
      <c r="AXU45" s="128"/>
      <c r="AXV45" s="129"/>
      <c r="AXW45" s="128"/>
      <c r="AXX45" s="129"/>
      <c r="AXY45" s="128"/>
      <c r="AXZ45" s="129"/>
      <c r="AYA45" s="128"/>
      <c r="AYB45" s="129"/>
      <c r="AYC45" s="128"/>
      <c r="AYD45" s="129"/>
      <c r="AYE45" s="128"/>
      <c r="AYF45" s="129"/>
      <c r="AYG45" s="128"/>
      <c r="AYH45" s="129"/>
      <c r="AYI45" s="128"/>
      <c r="AYJ45" s="129"/>
      <c r="AYK45" s="128"/>
      <c r="AYL45" s="129"/>
      <c r="AYM45" s="128"/>
      <c r="AYN45" s="129"/>
      <c r="AYO45" s="128"/>
      <c r="AYP45" s="129"/>
      <c r="AYQ45" s="128"/>
      <c r="AYR45" s="129"/>
      <c r="AYS45" s="128"/>
      <c r="AYT45" s="129"/>
      <c r="AYU45" s="128"/>
      <c r="AYV45" s="129"/>
      <c r="AYW45" s="128"/>
      <c r="AYX45" s="129"/>
      <c r="AYY45" s="128"/>
      <c r="AYZ45" s="129"/>
      <c r="AZA45" s="128"/>
      <c r="AZB45" s="129"/>
      <c r="AZC45" s="128"/>
      <c r="AZD45" s="129"/>
      <c r="AZE45" s="128"/>
      <c r="AZF45" s="129"/>
      <c r="AZG45" s="128"/>
      <c r="AZH45" s="129"/>
      <c r="AZI45" s="128"/>
      <c r="AZJ45" s="129"/>
      <c r="AZK45" s="128"/>
      <c r="AZL45" s="129"/>
      <c r="AZM45" s="128"/>
      <c r="AZN45" s="129"/>
      <c r="AZO45" s="128"/>
      <c r="AZP45" s="129"/>
      <c r="AZQ45" s="128"/>
      <c r="AZR45" s="129"/>
      <c r="AZS45" s="128"/>
      <c r="AZT45" s="129"/>
      <c r="AZU45" s="128"/>
      <c r="AZV45" s="129"/>
      <c r="AZW45" s="128"/>
      <c r="AZX45" s="129"/>
      <c r="AZY45" s="128"/>
      <c r="AZZ45" s="129"/>
      <c r="BAA45" s="128"/>
      <c r="BAB45" s="129"/>
      <c r="BAC45" s="128"/>
      <c r="BAD45" s="129"/>
      <c r="BAE45" s="128"/>
      <c r="BAF45" s="129"/>
      <c r="BAG45" s="128"/>
      <c r="BAH45" s="129"/>
      <c r="BAI45" s="128"/>
      <c r="BAJ45" s="129"/>
      <c r="BAK45" s="128"/>
      <c r="BAL45" s="129"/>
      <c r="BAM45" s="128"/>
      <c r="BAN45" s="129"/>
      <c r="BAO45" s="128"/>
      <c r="BAP45" s="129"/>
      <c r="BAQ45" s="128"/>
      <c r="BAR45" s="129"/>
      <c r="BAS45" s="128"/>
      <c r="BAT45" s="129"/>
      <c r="BAU45" s="128"/>
      <c r="BAV45" s="129"/>
      <c r="BAW45" s="128"/>
      <c r="BAX45" s="129"/>
      <c r="BAY45" s="128"/>
      <c r="BAZ45" s="129"/>
      <c r="BBA45" s="128"/>
      <c r="BBB45" s="129"/>
      <c r="BBC45" s="128"/>
      <c r="BBD45" s="129"/>
      <c r="BBE45" s="128"/>
      <c r="BBF45" s="129"/>
      <c r="BBG45" s="128"/>
      <c r="BBH45" s="129"/>
      <c r="BBI45" s="128"/>
      <c r="BBJ45" s="129"/>
      <c r="BBK45" s="128"/>
      <c r="BBL45" s="129"/>
      <c r="BBM45" s="128"/>
      <c r="BBN45" s="129"/>
      <c r="BBO45" s="128"/>
      <c r="BBP45" s="129"/>
      <c r="BBQ45" s="128"/>
      <c r="BBR45" s="129"/>
      <c r="BBS45" s="128"/>
      <c r="BBT45" s="129"/>
      <c r="BBU45" s="128"/>
      <c r="BBV45" s="129"/>
      <c r="BBW45" s="128"/>
      <c r="BBX45" s="129"/>
      <c r="BBY45" s="128"/>
      <c r="BBZ45" s="129"/>
      <c r="BCA45" s="128"/>
      <c r="BCB45" s="129"/>
      <c r="BCC45" s="128"/>
      <c r="BCD45" s="129"/>
      <c r="BCE45" s="128"/>
      <c r="BCF45" s="129"/>
      <c r="BCG45" s="128"/>
      <c r="BCH45" s="129"/>
      <c r="BCI45" s="128"/>
      <c r="BCJ45" s="129"/>
      <c r="BCK45" s="128"/>
      <c r="BCL45" s="129"/>
      <c r="BCM45" s="128"/>
      <c r="BCN45" s="129"/>
      <c r="BCO45" s="128"/>
      <c r="BCP45" s="129"/>
      <c r="BCQ45" s="128"/>
      <c r="BCR45" s="129"/>
      <c r="BCS45" s="128"/>
      <c r="BCT45" s="129"/>
      <c r="BCU45" s="128"/>
      <c r="BCV45" s="129"/>
      <c r="BCW45" s="128"/>
      <c r="BCX45" s="129"/>
      <c r="BCY45" s="128"/>
      <c r="BCZ45" s="129"/>
      <c r="BDA45" s="128"/>
      <c r="BDB45" s="129"/>
      <c r="BDC45" s="128"/>
      <c r="BDD45" s="129"/>
      <c r="BDE45" s="128"/>
      <c r="BDF45" s="129"/>
      <c r="BDG45" s="128"/>
      <c r="BDH45" s="129"/>
      <c r="BDI45" s="128"/>
      <c r="BDJ45" s="129"/>
      <c r="BDK45" s="128"/>
      <c r="BDL45" s="129"/>
      <c r="BDM45" s="128"/>
      <c r="BDN45" s="129"/>
      <c r="BDO45" s="128"/>
      <c r="BDP45" s="129"/>
      <c r="BDQ45" s="128"/>
      <c r="BDR45" s="129"/>
      <c r="BDS45" s="128"/>
      <c r="BDT45" s="129"/>
      <c r="BDU45" s="128"/>
      <c r="BDV45" s="129"/>
      <c r="BDW45" s="128"/>
      <c r="BDX45" s="129"/>
      <c r="BDY45" s="128"/>
      <c r="BDZ45" s="129"/>
      <c r="BEA45" s="128"/>
      <c r="BEB45" s="129"/>
      <c r="BEC45" s="128"/>
      <c r="BED45" s="129"/>
      <c r="BEE45" s="128"/>
      <c r="BEF45" s="129"/>
      <c r="BEG45" s="128"/>
      <c r="BEH45" s="129"/>
      <c r="BEI45" s="128"/>
      <c r="BEJ45" s="129"/>
      <c r="BEK45" s="128"/>
      <c r="BEL45" s="129"/>
      <c r="BEM45" s="128"/>
      <c r="BEN45" s="129"/>
      <c r="BEO45" s="128"/>
      <c r="BEP45" s="129"/>
      <c r="BEQ45" s="128"/>
      <c r="BER45" s="129"/>
      <c r="BES45" s="128"/>
      <c r="BET45" s="129"/>
      <c r="BEU45" s="128"/>
      <c r="BEV45" s="129"/>
      <c r="BEW45" s="128"/>
      <c r="BEX45" s="129"/>
      <c r="BEY45" s="128"/>
      <c r="BEZ45" s="129"/>
      <c r="BFA45" s="128"/>
      <c r="BFB45" s="129"/>
      <c r="BFC45" s="128"/>
      <c r="BFD45" s="129"/>
      <c r="BFE45" s="128"/>
      <c r="BFF45" s="129"/>
      <c r="BFG45" s="128"/>
      <c r="BFH45" s="129"/>
      <c r="BFI45" s="128"/>
      <c r="BFJ45" s="129"/>
      <c r="BFK45" s="128"/>
      <c r="BFL45" s="129"/>
      <c r="BFM45" s="128"/>
      <c r="BFN45" s="129"/>
      <c r="BFO45" s="128"/>
      <c r="BFP45" s="129"/>
      <c r="BFQ45" s="128"/>
      <c r="BFR45" s="129"/>
      <c r="BFS45" s="128"/>
      <c r="BFT45" s="129"/>
      <c r="BFU45" s="128"/>
      <c r="BFV45" s="129"/>
      <c r="BFW45" s="128"/>
      <c r="BFX45" s="129"/>
      <c r="BFY45" s="128"/>
      <c r="BFZ45" s="129"/>
      <c r="BGA45" s="128"/>
      <c r="BGB45" s="129"/>
      <c r="BGC45" s="128"/>
      <c r="BGD45" s="129"/>
      <c r="BGE45" s="128"/>
      <c r="BGF45" s="129"/>
      <c r="BGG45" s="128"/>
      <c r="BGH45" s="129"/>
      <c r="BGI45" s="128"/>
      <c r="BGJ45" s="129"/>
      <c r="BGK45" s="128"/>
      <c r="BGL45" s="129"/>
      <c r="BGM45" s="128"/>
      <c r="BGN45" s="129"/>
      <c r="BGO45" s="128"/>
      <c r="BGP45" s="129"/>
      <c r="BGQ45" s="128"/>
      <c r="BGR45" s="129"/>
      <c r="BGS45" s="128"/>
      <c r="BGT45" s="129"/>
      <c r="BGU45" s="128"/>
      <c r="BGV45" s="129"/>
      <c r="BGW45" s="128"/>
      <c r="BGX45" s="129"/>
      <c r="BGY45" s="128"/>
      <c r="BGZ45" s="129"/>
      <c r="BHA45" s="128"/>
      <c r="BHB45" s="129"/>
      <c r="BHC45" s="128"/>
      <c r="BHD45" s="129"/>
      <c r="BHE45" s="128"/>
      <c r="BHF45" s="129"/>
      <c r="BHG45" s="128"/>
      <c r="BHH45" s="129"/>
      <c r="BHI45" s="128"/>
      <c r="BHJ45" s="129"/>
      <c r="BHK45" s="128"/>
      <c r="BHL45" s="129"/>
      <c r="BHM45" s="128"/>
      <c r="BHN45" s="129"/>
      <c r="BHO45" s="128"/>
      <c r="BHP45" s="129"/>
      <c r="BHQ45" s="128"/>
      <c r="BHR45" s="129"/>
      <c r="BHS45" s="128"/>
      <c r="BHT45" s="129"/>
      <c r="BHU45" s="128"/>
      <c r="BHV45" s="129"/>
      <c r="BHW45" s="128"/>
      <c r="BHX45" s="129"/>
      <c r="BHY45" s="128"/>
      <c r="BHZ45" s="129"/>
      <c r="BIA45" s="128"/>
      <c r="BIB45" s="129"/>
      <c r="BIC45" s="128"/>
      <c r="BID45" s="129"/>
      <c r="BIE45" s="128"/>
      <c r="BIF45" s="129"/>
      <c r="BIG45" s="128"/>
      <c r="BIH45" s="129"/>
      <c r="BII45" s="128"/>
      <c r="BIJ45" s="129"/>
      <c r="BIK45" s="128"/>
      <c r="BIL45" s="129"/>
      <c r="BIM45" s="128"/>
      <c r="BIN45" s="129"/>
      <c r="BIO45" s="128"/>
      <c r="BIP45" s="129"/>
      <c r="BIQ45" s="128"/>
      <c r="BIR45" s="129"/>
      <c r="BIS45" s="128"/>
      <c r="BIT45" s="129"/>
      <c r="BIU45" s="128"/>
      <c r="BIV45" s="129"/>
      <c r="BIW45" s="128"/>
      <c r="BIX45" s="129"/>
      <c r="BIY45" s="128"/>
      <c r="BIZ45" s="129"/>
      <c r="BJA45" s="128"/>
      <c r="BJB45" s="129"/>
      <c r="BJC45" s="128"/>
      <c r="BJD45" s="129"/>
      <c r="BJE45" s="128"/>
      <c r="BJF45" s="129"/>
      <c r="BJG45" s="128"/>
      <c r="BJH45" s="129"/>
      <c r="BJI45" s="128"/>
      <c r="BJJ45" s="129"/>
      <c r="BJK45" s="128"/>
      <c r="BJL45" s="129"/>
      <c r="BJM45" s="128"/>
      <c r="BJN45" s="129"/>
      <c r="BJO45" s="128"/>
      <c r="BJP45" s="129"/>
      <c r="BJQ45" s="128"/>
      <c r="BJR45" s="129"/>
      <c r="BJS45" s="128"/>
      <c r="BJT45" s="129"/>
      <c r="BJU45" s="128"/>
      <c r="BJV45" s="129"/>
      <c r="BJW45" s="128"/>
      <c r="BJX45" s="129"/>
      <c r="BJY45" s="128"/>
      <c r="BJZ45" s="129"/>
      <c r="BKA45" s="128"/>
      <c r="BKB45" s="129"/>
      <c r="BKC45" s="128"/>
      <c r="BKD45" s="129"/>
      <c r="BKE45" s="128"/>
      <c r="BKF45" s="129"/>
      <c r="BKG45" s="128"/>
      <c r="BKH45" s="129"/>
      <c r="BKI45" s="128"/>
      <c r="BKJ45" s="129"/>
      <c r="BKK45" s="128"/>
      <c r="BKL45" s="129"/>
      <c r="BKM45" s="128"/>
      <c r="BKN45" s="129"/>
      <c r="BKO45" s="128"/>
      <c r="BKP45" s="129"/>
      <c r="BKQ45" s="128"/>
      <c r="BKR45" s="129"/>
      <c r="BKS45" s="128"/>
      <c r="BKT45" s="129"/>
      <c r="BKU45" s="128"/>
      <c r="BKV45" s="129"/>
      <c r="BKW45" s="128"/>
      <c r="BKX45" s="129"/>
      <c r="BKY45" s="128"/>
      <c r="BKZ45" s="129"/>
      <c r="BLA45" s="128"/>
      <c r="BLB45" s="129"/>
      <c r="BLC45" s="128"/>
      <c r="BLD45" s="129"/>
      <c r="BLE45" s="128"/>
      <c r="BLF45" s="129"/>
      <c r="BLG45" s="128"/>
      <c r="BLH45" s="129"/>
      <c r="BLI45" s="128"/>
      <c r="BLJ45" s="129"/>
      <c r="BLK45" s="128"/>
      <c r="BLL45" s="129"/>
      <c r="BLM45" s="128"/>
      <c r="BLN45" s="129"/>
      <c r="BLO45" s="128"/>
      <c r="BLP45" s="129"/>
      <c r="BLQ45" s="128"/>
      <c r="BLR45" s="129"/>
      <c r="BLS45" s="128"/>
      <c r="BLT45" s="129"/>
      <c r="BLU45" s="128"/>
      <c r="BLV45" s="129"/>
      <c r="BLW45" s="128"/>
      <c r="BLX45" s="129"/>
      <c r="BLY45" s="128"/>
      <c r="BLZ45" s="129"/>
      <c r="BMA45" s="128"/>
      <c r="BMB45" s="129"/>
      <c r="BMC45" s="128"/>
      <c r="BMD45" s="129"/>
      <c r="BME45" s="128"/>
      <c r="BMF45" s="129"/>
      <c r="BMG45" s="128"/>
      <c r="BMH45" s="129"/>
      <c r="BMI45" s="128"/>
      <c r="BMJ45" s="129"/>
      <c r="BMK45" s="128"/>
      <c r="BML45" s="129"/>
      <c r="BMM45" s="128"/>
      <c r="BMN45" s="129"/>
      <c r="BMO45" s="128"/>
      <c r="BMP45" s="129"/>
      <c r="BMQ45" s="128"/>
      <c r="BMR45" s="129"/>
      <c r="BMS45" s="128"/>
      <c r="BMT45" s="129"/>
      <c r="BMU45" s="128"/>
      <c r="BMV45" s="129"/>
      <c r="BMW45" s="128"/>
      <c r="BMX45" s="129"/>
      <c r="BMY45" s="128"/>
      <c r="BMZ45" s="129"/>
      <c r="BNA45" s="128"/>
      <c r="BNB45" s="129"/>
      <c r="BNC45" s="128"/>
      <c r="BND45" s="129"/>
      <c r="BNE45" s="128"/>
      <c r="BNF45" s="129"/>
      <c r="BNG45" s="128"/>
      <c r="BNH45" s="129"/>
      <c r="BNI45" s="128"/>
      <c r="BNJ45" s="129"/>
      <c r="BNK45" s="128"/>
      <c r="BNL45" s="129"/>
      <c r="BNM45" s="128"/>
      <c r="BNN45" s="129"/>
      <c r="BNO45" s="128"/>
      <c r="BNP45" s="129"/>
      <c r="BNQ45" s="128"/>
      <c r="BNR45" s="129"/>
      <c r="BNS45" s="128"/>
      <c r="BNT45" s="129"/>
      <c r="BNU45" s="128"/>
      <c r="BNV45" s="129"/>
      <c r="BNW45" s="128"/>
      <c r="BNX45" s="129"/>
      <c r="BNY45" s="128"/>
      <c r="BNZ45" s="129"/>
      <c r="BOA45" s="128"/>
      <c r="BOB45" s="129"/>
      <c r="BOC45" s="128"/>
      <c r="BOD45" s="129"/>
      <c r="BOE45" s="128"/>
      <c r="BOF45" s="129"/>
      <c r="BOG45" s="128"/>
      <c r="BOH45" s="129"/>
      <c r="BOI45" s="128"/>
      <c r="BOJ45" s="129"/>
      <c r="BOK45" s="128"/>
      <c r="BOL45" s="129"/>
      <c r="BOM45" s="128"/>
      <c r="BON45" s="129"/>
      <c r="BOO45" s="128"/>
      <c r="BOP45" s="129"/>
      <c r="BOQ45" s="128"/>
      <c r="BOR45" s="129"/>
      <c r="BOS45" s="128"/>
      <c r="BOT45" s="129"/>
      <c r="BOU45" s="128"/>
      <c r="BOV45" s="129"/>
      <c r="BOW45" s="128"/>
      <c r="BOX45" s="129"/>
      <c r="BOY45" s="128"/>
      <c r="BOZ45" s="129"/>
      <c r="BPA45" s="128"/>
      <c r="BPB45" s="129"/>
      <c r="BPC45" s="128"/>
      <c r="BPD45" s="129"/>
      <c r="BPE45" s="128"/>
      <c r="BPF45" s="129"/>
      <c r="BPG45" s="128"/>
      <c r="BPH45" s="129"/>
      <c r="BPI45" s="128"/>
      <c r="BPJ45" s="129"/>
      <c r="BPK45" s="128"/>
      <c r="BPL45" s="129"/>
      <c r="BPM45" s="128"/>
      <c r="BPN45" s="129"/>
      <c r="BPO45" s="128"/>
      <c r="BPP45" s="129"/>
      <c r="BPQ45" s="128"/>
      <c r="BPR45" s="129"/>
      <c r="BPS45" s="128"/>
      <c r="BPT45" s="129"/>
      <c r="BPU45" s="128"/>
      <c r="BPV45" s="129"/>
      <c r="BPW45" s="128"/>
      <c r="BPX45" s="129"/>
      <c r="BPY45" s="128"/>
      <c r="BPZ45" s="129"/>
      <c r="BQA45" s="128"/>
      <c r="BQB45" s="129"/>
      <c r="BQC45" s="128"/>
      <c r="BQD45" s="129"/>
      <c r="BQE45" s="128"/>
      <c r="BQF45" s="129"/>
      <c r="BQG45" s="128"/>
      <c r="BQH45" s="129"/>
      <c r="BQI45" s="128"/>
      <c r="BQJ45" s="129"/>
      <c r="BQK45" s="128"/>
      <c r="BQL45" s="129"/>
      <c r="BQM45" s="128"/>
      <c r="BQN45" s="129"/>
      <c r="BQO45" s="128"/>
      <c r="BQP45" s="129"/>
      <c r="BQQ45" s="128"/>
      <c r="BQR45" s="129"/>
      <c r="BQS45" s="128"/>
      <c r="BQT45" s="129"/>
      <c r="BQU45" s="128"/>
      <c r="BQV45" s="129"/>
      <c r="BQW45" s="128"/>
      <c r="BQX45" s="129"/>
      <c r="BQY45" s="128"/>
      <c r="BQZ45" s="129"/>
      <c r="BRA45" s="128"/>
      <c r="BRB45" s="129"/>
      <c r="BRC45" s="128"/>
      <c r="BRD45" s="129"/>
      <c r="BRE45" s="128"/>
      <c r="BRF45" s="129"/>
      <c r="BRG45" s="128"/>
      <c r="BRH45" s="129"/>
      <c r="BRI45" s="128"/>
      <c r="BRJ45" s="129"/>
      <c r="BRK45" s="128"/>
      <c r="BRL45" s="129"/>
      <c r="BRM45" s="128"/>
      <c r="BRN45" s="129"/>
      <c r="BRO45" s="128"/>
      <c r="BRP45" s="129"/>
      <c r="BRQ45" s="128"/>
      <c r="BRR45" s="129"/>
      <c r="BRS45" s="128"/>
      <c r="BRT45" s="129"/>
      <c r="BRU45" s="128"/>
      <c r="BRV45" s="129"/>
      <c r="BRW45" s="128"/>
      <c r="BRX45" s="129"/>
      <c r="BRY45" s="128"/>
      <c r="BRZ45" s="129"/>
      <c r="BSA45" s="128"/>
      <c r="BSB45" s="129"/>
      <c r="BSC45" s="128"/>
      <c r="BSD45" s="129"/>
      <c r="BSE45" s="128"/>
      <c r="BSF45" s="129"/>
      <c r="BSG45" s="128"/>
      <c r="BSH45" s="129"/>
      <c r="BSI45" s="128"/>
      <c r="BSJ45" s="129"/>
      <c r="BSK45" s="128"/>
      <c r="BSL45" s="129"/>
      <c r="BSM45" s="128"/>
      <c r="BSN45" s="129"/>
      <c r="BSO45" s="128"/>
      <c r="BSP45" s="129"/>
      <c r="BSQ45" s="128"/>
      <c r="BSR45" s="129"/>
      <c r="BSS45" s="128"/>
      <c r="BST45" s="129"/>
      <c r="BSU45" s="128"/>
      <c r="BSV45" s="129"/>
      <c r="BSW45" s="128"/>
      <c r="BSX45" s="129"/>
      <c r="BSY45" s="128"/>
      <c r="BSZ45" s="129"/>
      <c r="BTA45" s="128"/>
      <c r="BTB45" s="129"/>
      <c r="BTC45" s="128"/>
      <c r="BTD45" s="129"/>
      <c r="BTE45" s="128"/>
      <c r="BTF45" s="129"/>
      <c r="BTG45" s="128"/>
      <c r="BTH45" s="129"/>
      <c r="BTI45" s="128"/>
      <c r="BTJ45" s="129"/>
      <c r="BTK45" s="128"/>
      <c r="BTL45" s="129"/>
      <c r="BTM45" s="128"/>
      <c r="BTN45" s="129"/>
      <c r="BTO45" s="128"/>
      <c r="BTP45" s="129"/>
      <c r="BTQ45" s="128"/>
      <c r="BTR45" s="129"/>
      <c r="BTS45" s="128"/>
      <c r="BTT45" s="129"/>
      <c r="BTU45" s="128"/>
      <c r="BTV45" s="129"/>
      <c r="BTW45" s="128"/>
      <c r="BTX45" s="129"/>
      <c r="BTY45" s="128"/>
      <c r="BTZ45" s="129"/>
      <c r="BUA45" s="128"/>
      <c r="BUB45" s="129"/>
      <c r="BUC45" s="128"/>
      <c r="BUD45" s="129"/>
      <c r="BUE45" s="128"/>
      <c r="BUF45" s="129"/>
      <c r="BUG45" s="128"/>
      <c r="BUH45" s="129"/>
      <c r="BUI45" s="128"/>
      <c r="BUJ45" s="129"/>
      <c r="BUK45" s="128"/>
      <c r="BUL45" s="129"/>
      <c r="BUM45" s="128"/>
      <c r="BUN45" s="129"/>
      <c r="BUO45" s="128"/>
      <c r="BUP45" s="129"/>
      <c r="BUQ45" s="128"/>
      <c r="BUR45" s="129"/>
      <c r="BUS45" s="128"/>
      <c r="BUT45" s="129"/>
      <c r="BUU45" s="128"/>
      <c r="BUV45" s="129"/>
      <c r="BUW45" s="128"/>
      <c r="BUX45" s="129"/>
      <c r="BUY45" s="128"/>
      <c r="BUZ45" s="129"/>
      <c r="BVA45" s="128"/>
      <c r="BVB45" s="129"/>
      <c r="BVC45" s="128"/>
      <c r="BVD45" s="129"/>
      <c r="BVE45" s="128"/>
      <c r="BVF45" s="129"/>
      <c r="BVG45" s="128"/>
      <c r="BVH45" s="129"/>
      <c r="BVI45" s="128"/>
      <c r="BVJ45" s="129"/>
      <c r="BVK45" s="128"/>
      <c r="BVL45" s="129"/>
      <c r="BVM45" s="128"/>
      <c r="BVN45" s="129"/>
      <c r="BVO45" s="128"/>
      <c r="BVP45" s="129"/>
      <c r="BVQ45" s="128"/>
      <c r="BVR45" s="129"/>
      <c r="BVS45" s="128"/>
      <c r="BVT45" s="129"/>
      <c r="BVU45" s="128"/>
      <c r="BVV45" s="129"/>
      <c r="BVW45" s="128"/>
      <c r="BVX45" s="129"/>
      <c r="BVY45" s="128"/>
      <c r="BVZ45" s="129"/>
      <c r="BWA45" s="128"/>
      <c r="BWB45" s="129"/>
      <c r="BWC45" s="128"/>
      <c r="BWD45" s="129"/>
      <c r="BWE45" s="128"/>
      <c r="BWF45" s="129"/>
      <c r="BWG45" s="128"/>
      <c r="BWH45" s="129"/>
      <c r="BWI45" s="128"/>
      <c r="BWJ45" s="129"/>
      <c r="BWK45" s="128"/>
      <c r="BWL45" s="129"/>
      <c r="BWM45" s="128"/>
      <c r="BWN45" s="129"/>
      <c r="BWO45" s="128"/>
      <c r="BWP45" s="129"/>
      <c r="BWQ45" s="128"/>
      <c r="BWR45" s="129"/>
      <c r="BWS45" s="128"/>
      <c r="BWT45" s="129"/>
      <c r="BWU45" s="128"/>
      <c r="BWV45" s="129"/>
      <c r="BWW45" s="128"/>
      <c r="BWX45" s="129"/>
      <c r="BWY45" s="128"/>
      <c r="BWZ45" s="129"/>
      <c r="BXA45" s="128"/>
      <c r="BXB45" s="129"/>
      <c r="BXC45" s="128"/>
      <c r="BXD45" s="129"/>
      <c r="BXE45" s="128"/>
      <c r="BXF45" s="129"/>
      <c r="BXG45" s="128"/>
      <c r="BXH45" s="129"/>
      <c r="BXI45" s="128"/>
      <c r="BXJ45" s="129"/>
      <c r="BXK45" s="128"/>
      <c r="BXL45" s="129"/>
      <c r="BXM45" s="128"/>
      <c r="BXN45" s="129"/>
      <c r="BXO45" s="128"/>
      <c r="BXP45" s="129"/>
      <c r="BXQ45" s="128"/>
      <c r="BXR45" s="129"/>
      <c r="BXS45" s="128"/>
      <c r="BXT45" s="129"/>
      <c r="BXU45" s="128"/>
      <c r="BXV45" s="129"/>
      <c r="BXW45" s="128"/>
      <c r="BXX45" s="129"/>
      <c r="BXY45" s="128"/>
      <c r="BXZ45" s="129"/>
      <c r="BYA45" s="128"/>
      <c r="BYB45" s="129"/>
      <c r="BYC45" s="128"/>
      <c r="BYD45" s="129"/>
      <c r="BYE45" s="128"/>
      <c r="BYF45" s="129"/>
      <c r="BYG45" s="128"/>
      <c r="BYH45" s="129"/>
      <c r="BYI45" s="128"/>
      <c r="BYJ45" s="129"/>
      <c r="BYK45" s="128"/>
      <c r="BYL45" s="129"/>
      <c r="BYM45" s="128"/>
      <c r="BYN45" s="129"/>
      <c r="BYO45" s="128"/>
      <c r="BYP45" s="129"/>
      <c r="BYQ45" s="128"/>
      <c r="BYR45" s="129"/>
      <c r="BYS45" s="128"/>
      <c r="BYT45" s="129"/>
      <c r="BYU45" s="128"/>
      <c r="BYV45" s="129"/>
      <c r="BYW45" s="128"/>
      <c r="BYX45" s="129"/>
      <c r="BYY45" s="128"/>
      <c r="BYZ45" s="129"/>
      <c r="BZA45" s="128"/>
      <c r="BZB45" s="129"/>
      <c r="BZC45" s="128"/>
      <c r="BZD45" s="129"/>
      <c r="BZE45" s="128"/>
      <c r="BZF45" s="129"/>
      <c r="BZG45" s="128"/>
      <c r="BZH45" s="129"/>
      <c r="BZI45" s="128"/>
      <c r="BZJ45" s="129"/>
      <c r="BZK45" s="128"/>
      <c r="BZL45" s="129"/>
      <c r="BZM45" s="128"/>
      <c r="BZN45" s="129"/>
      <c r="BZO45" s="128"/>
      <c r="BZP45" s="129"/>
      <c r="BZQ45" s="128"/>
      <c r="BZR45" s="129"/>
      <c r="BZS45" s="128"/>
      <c r="BZT45" s="129"/>
      <c r="BZU45" s="128"/>
      <c r="BZV45" s="129"/>
      <c r="BZW45" s="128"/>
      <c r="BZX45" s="129"/>
      <c r="BZY45" s="128"/>
      <c r="BZZ45" s="129"/>
      <c r="CAA45" s="128"/>
      <c r="CAB45" s="129"/>
      <c r="CAC45" s="128"/>
      <c r="CAD45" s="129"/>
      <c r="CAE45" s="128"/>
      <c r="CAF45" s="129"/>
      <c r="CAG45" s="128"/>
      <c r="CAH45" s="129"/>
      <c r="CAI45" s="128"/>
      <c r="CAJ45" s="129"/>
      <c r="CAK45" s="128"/>
      <c r="CAL45" s="129"/>
      <c r="CAM45" s="128"/>
      <c r="CAN45" s="129"/>
      <c r="CAO45" s="128"/>
      <c r="CAP45" s="129"/>
      <c r="CAQ45" s="128"/>
      <c r="CAR45" s="129"/>
      <c r="CAS45" s="128"/>
      <c r="CAT45" s="129"/>
      <c r="CAU45" s="128"/>
      <c r="CAV45" s="129"/>
      <c r="CAW45" s="128"/>
      <c r="CAX45" s="129"/>
      <c r="CAY45" s="128"/>
      <c r="CAZ45" s="129"/>
      <c r="CBA45" s="128"/>
      <c r="CBB45" s="129"/>
      <c r="CBC45" s="128"/>
      <c r="CBD45" s="129"/>
      <c r="CBE45" s="128"/>
      <c r="CBF45" s="129"/>
      <c r="CBG45" s="128"/>
      <c r="CBH45" s="129"/>
      <c r="CBI45" s="128"/>
      <c r="CBJ45" s="129"/>
      <c r="CBK45" s="128"/>
      <c r="CBL45" s="129"/>
      <c r="CBM45" s="128"/>
      <c r="CBN45" s="129"/>
      <c r="CBO45" s="128"/>
      <c r="CBP45" s="129"/>
      <c r="CBQ45" s="128"/>
      <c r="CBR45" s="129"/>
      <c r="CBS45" s="128"/>
      <c r="CBT45" s="129"/>
      <c r="CBU45" s="128"/>
      <c r="CBV45" s="129"/>
      <c r="CBW45" s="128"/>
      <c r="CBX45" s="129"/>
      <c r="CBY45" s="128"/>
      <c r="CBZ45" s="129"/>
      <c r="CCA45" s="128"/>
      <c r="CCB45" s="129"/>
      <c r="CCC45" s="128"/>
      <c r="CCD45" s="129"/>
      <c r="CCE45" s="128"/>
      <c r="CCF45" s="129"/>
      <c r="CCG45" s="128"/>
      <c r="CCH45" s="129"/>
      <c r="CCI45" s="128"/>
      <c r="CCJ45" s="129"/>
      <c r="CCK45" s="128"/>
      <c r="CCL45" s="129"/>
      <c r="CCM45" s="128"/>
      <c r="CCN45" s="129"/>
      <c r="CCO45" s="128"/>
      <c r="CCP45" s="129"/>
      <c r="CCQ45" s="128"/>
      <c r="CCR45" s="129"/>
      <c r="CCS45" s="128"/>
      <c r="CCT45" s="129"/>
      <c r="CCU45" s="128"/>
      <c r="CCV45" s="129"/>
      <c r="CCW45" s="128"/>
      <c r="CCX45" s="129"/>
      <c r="CCY45" s="128"/>
      <c r="CCZ45" s="129"/>
      <c r="CDA45" s="128"/>
      <c r="CDB45" s="129"/>
      <c r="CDC45" s="128"/>
      <c r="CDD45" s="129"/>
      <c r="CDE45" s="128"/>
      <c r="CDF45" s="129"/>
      <c r="CDG45" s="128"/>
      <c r="CDH45" s="129"/>
      <c r="CDI45" s="128"/>
      <c r="CDJ45" s="129"/>
      <c r="CDK45" s="128"/>
      <c r="CDL45" s="129"/>
      <c r="CDM45" s="128"/>
      <c r="CDN45" s="129"/>
      <c r="CDO45" s="128"/>
      <c r="CDP45" s="129"/>
      <c r="CDQ45" s="128"/>
      <c r="CDR45" s="129"/>
      <c r="CDS45" s="128"/>
      <c r="CDT45" s="129"/>
      <c r="CDU45" s="128"/>
      <c r="CDV45" s="129"/>
      <c r="CDW45" s="128"/>
      <c r="CDX45" s="129"/>
      <c r="CDY45" s="128"/>
      <c r="CDZ45" s="129"/>
      <c r="CEA45" s="128"/>
      <c r="CEB45" s="129"/>
      <c r="CEC45" s="128"/>
      <c r="CED45" s="129"/>
      <c r="CEE45" s="128"/>
      <c r="CEF45" s="129"/>
      <c r="CEG45" s="128"/>
      <c r="CEH45" s="129"/>
      <c r="CEI45" s="128"/>
      <c r="CEJ45" s="129"/>
      <c r="CEK45" s="128"/>
      <c r="CEL45" s="129"/>
      <c r="CEM45" s="128"/>
      <c r="CEN45" s="129"/>
      <c r="CEO45" s="128"/>
      <c r="CEP45" s="129"/>
      <c r="CEQ45" s="128"/>
      <c r="CER45" s="129"/>
      <c r="CES45" s="128"/>
      <c r="CET45" s="129"/>
      <c r="CEU45" s="128"/>
      <c r="CEV45" s="129"/>
      <c r="CEW45" s="128"/>
      <c r="CEX45" s="129"/>
      <c r="CEY45" s="128"/>
      <c r="CEZ45" s="129"/>
      <c r="CFA45" s="128"/>
      <c r="CFB45" s="129"/>
      <c r="CFC45" s="128"/>
      <c r="CFD45" s="129"/>
      <c r="CFE45" s="128"/>
      <c r="CFF45" s="129"/>
      <c r="CFG45" s="128"/>
      <c r="CFH45" s="129"/>
      <c r="CFI45" s="128"/>
      <c r="CFJ45" s="129"/>
      <c r="CFK45" s="128"/>
      <c r="CFL45" s="129"/>
      <c r="CFM45" s="128"/>
      <c r="CFN45" s="129"/>
      <c r="CFO45" s="128"/>
      <c r="CFP45" s="129"/>
      <c r="CFQ45" s="128"/>
      <c r="CFR45" s="129"/>
      <c r="CFS45" s="128"/>
      <c r="CFT45" s="129"/>
      <c r="CFU45" s="128"/>
      <c r="CFV45" s="129"/>
      <c r="CFW45" s="128"/>
      <c r="CFX45" s="129"/>
      <c r="CFY45" s="128"/>
      <c r="CFZ45" s="129"/>
      <c r="CGA45" s="128"/>
      <c r="CGB45" s="129"/>
      <c r="CGC45" s="128"/>
      <c r="CGD45" s="129"/>
      <c r="CGE45" s="128"/>
      <c r="CGF45" s="129"/>
      <c r="CGG45" s="128"/>
      <c r="CGH45" s="129"/>
      <c r="CGI45" s="128"/>
      <c r="CGJ45" s="129"/>
      <c r="CGK45" s="128"/>
      <c r="CGL45" s="129"/>
      <c r="CGM45" s="128"/>
      <c r="CGN45" s="129"/>
      <c r="CGO45" s="128"/>
      <c r="CGP45" s="129"/>
      <c r="CGQ45" s="128"/>
      <c r="CGR45" s="129"/>
      <c r="CGS45" s="128"/>
      <c r="CGT45" s="129"/>
      <c r="CGU45" s="128"/>
      <c r="CGV45" s="129"/>
      <c r="CGW45" s="128"/>
      <c r="CGX45" s="129"/>
      <c r="CGY45" s="128"/>
      <c r="CGZ45" s="129"/>
      <c r="CHA45" s="128"/>
      <c r="CHB45" s="129"/>
      <c r="CHC45" s="128"/>
      <c r="CHD45" s="129"/>
      <c r="CHE45" s="128"/>
      <c r="CHF45" s="129"/>
      <c r="CHG45" s="128"/>
      <c r="CHH45" s="129"/>
      <c r="CHI45" s="128"/>
      <c r="CHJ45" s="129"/>
      <c r="CHK45" s="128"/>
      <c r="CHL45" s="129"/>
      <c r="CHM45" s="128"/>
      <c r="CHN45" s="129"/>
      <c r="CHO45" s="128"/>
      <c r="CHP45" s="129"/>
      <c r="CHQ45" s="128"/>
      <c r="CHR45" s="129"/>
      <c r="CHS45" s="128"/>
      <c r="CHT45" s="129"/>
      <c r="CHU45" s="128"/>
      <c r="CHV45" s="129"/>
      <c r="CHW45" s="128"/>
      <c r="CHX45" s="129"/>
      <c r="CHY45" s="128"/>
      <c r="CHZ45" s="129"/>
      <c r="CIA45" s="128"/>
      <c r="CIB45" s="129"/>
      <c r="CIC45" s="128"/>
      <c r="CID45" s="129"/>
      <c r="CIE45" s="128"/>
      <c r="CIF45" s="129"/>
      <c r="CIG45" s="128"/>
      <c r="CIH45" s="129"/>
      <c r="CII45" s="128"/>
      <c r="CIJ45" s="129"/>
      <c r="CIK45" s="128"/>
      <c r="CIL45" s="129"/>
      <c r="CIM45" s="128"/>
      <c r="CIN45" s="129"/>
      <c r="CIO45" s="128"/>
      <c r="CIP45" s="129"/>
      <c r="CIQ45" s="128"/>
      <c r="CIR45" s="129"/>
      <c r="CIS45" s="128"/>
      <c r="CIT45" s="129"/>
      <c r="CIU45" s="128"/>
      <c r="CIV45" s="129"/>
      <c r="CIW45" s="128"/>
      <c r="CIX45" s="129"/>
      <c r="CIY45" s="128"/>
      <c r="CIZ45" s="129"/>
      <c r="CJA45" s="128"/>
      <c r="CJB45" s="129"/>
      <c r="CJC45" s="128"/>
      <c r="CJD45" s="129"/>
      <c r="CJE45" s="128"/>
      <c r="CJF45" s="129"/>
      <c r="CJG45" s="128"/>
      <c r="CJH45" s="129"/>
      <c r="CJI45" s="128"/>
      <c r="CJJ45" s="129"/>
      <c r="CJK45" s="128"/>
      <c r="CJL45" s="129"/>
      <c r="CJM45" s="128"/>
      <c r="CJN45" s="129"/>
      <c r="CJO45" s="128"/>
      <c r="CJP45" s="129"/>
      <c r="CJQ45" s="128"/>
      <c r="CJR45" s="129"/>
      <c r="CJS45" s="128"/>
      <c r="CJT45" s="129"/>
      <c r="CJU45" s="128"/>
      <c r="CJV45" s="129"/>
      <c r="CJW45" s="128"/>
      <c r="CJX45" s="129"/>
      <c r="CJY45" s="128"/>
      <c r="CJZ45" s="129"/>
      <c r="CKA45" s="128"/>
      <c r="CKB45" s="129"/>
      <c r="CKC45" s="128"/>
      <c r="CKD45" s="129"/>
      <c r="CKE45" s="128"/>
      <c r="CKF45" s="129"/>
      <c r="CKG45" s="128"/>
      <c r="CKH45" s="129"/>
      <c r="CKI45" s="128"/>
      <c r="CKJ45" s="129"/>
      <c r="CKK45" s="128"/>
      <c r="CKL45" s="129"/>
      <c r="CKM45" s="128"/>
      <c r="CKN45" s="129"/>
      <c r="CKO45" s="128"/>
      <c r="CKP45" s="129"/>
      <c r="CKQ45" s="128"/>
      <c r="CKR45" s="129"/>
      <c r="CKS45" s="128"/>
      <c r="CKT45" s="129"/>
      <c r="CKU45" s="128"/>
      <c r="CKV45" s="129"/>
      <c r="CKW45" s="128"/>
      <c r="CKX45" s="129"/>
      <c r="CKY45" s="128"/>
      <c r="CKZ45" s="129"/>
      <c r="CLA45" s="128"/>
      <c r="CLB45" s="129"/>
      <c r="CLC45" s="128"/>
      <c r="CLD45" s="129"/>
      <c r="CLE45" s="128"/>
      <c r="CLF45" s="129"/>
      <c r="CLG45" s="128"/>
      <c r="CLH45" s="129"/>
      <c r="CLI45" s="128"/>
      <c r="CLJ45" s="129"/>
      <c r="CLK45" s="128"/>
      <c r="CLL45" s="129"/>
      <c r="CLM45" s="128"/>
      <c r="CLN45" s="129"/>
      <c r="CLO45" s="128"/>
      <c r="CLP45" s="129"/>
      <c r="CLQ45" s="128"/>
      <c r="CLR45" s="129"/>
      <c r="CLS45" s="128"/>
      <c r="CLT45" s="129"/>
      <c r="CLU45" s="128"/>
      <c r="CLV45" s="129"/>
      <c r="CLW45" s="128"/>
      <c r="CLX45" s="129"/>
      <c r="CLY45" s="128"/>
      <c r="CLZ45" s="129"/>
      <c r="CMA45" s="128"/>
      <c r="CMB45" s="129"/>
      <c r="CMC45" s="128"/>
      <c r="CMD45" s="129"/>
      <c r="CME45" s="128"/>
      <c r="CMF45" s="129"/>
      <c r="CMG45" s="128"/>
      <c r="CMH45" s="129"/>
      <c r="CMI45" s="128"/>
      <c r="CMJ45" s="129"/>
      <c r="CMK45" s="128"/>
      <c r="CML45" s="129"/>
      <c r="CMM45" s="128"/>
      <c r="CMN45" s="129"/>
      <c r="CMO45" s="128"/>
      <c r="CMP45" s="129"/>
      <c r="CMQ45" s="128"/>
      <c r="CMR45" s="129"/>
      <c r="CMS45" s="128"/>
      <c r="CMT45" s="129"/>
      <c r="CMU45" s="128"/>
      <c r="CMV45" s="129"/>
      <c r="CMW45" s="128"/>
      <c r="CMX45" s="129"/>
      <c r="CMY45" s="128"/>
      <c r="CMZ45" s="129"/>
      <c r="CNA45" s="128"/>
      <c r="CNB45" s="129"/>
      <c r="CNC45" s="128"/>
      <c r="CND45" s="129"/>
      <c r="CNE45" s="128"/>
      <c r="CNF45" s="129"/>
      <c r="CNG45" s="128"/>
      <c r="CNH45" s="129"/>
      <c r="CNI45" s="128"/>
      <c r="CNJ45" s="129"/>
      <c r="CNK45" s="128"/>
      <c r="CNL45" s="129"/>
      <c r="CNM45" s="128"/>
      <c r="CNN45" s="129"/>
      <c r="CNO45" s="128"/>
      <c r="CNP45" s="129"/>
      <c r="CNQ45" s="128"/>
      <c r="CNR45" s="129"/>
      <c r="CNS45" s="128"/>
      <c r="CNT45" s="129"/>
      <c r="CNU45" s="128"/>
      <c r="CNV45" s="129"/>
      <c r="CNW45" s="128"/>
      <c r="CNX45" s="129"/>
      <c r="CNY45" s="128"/>
      <c r="CNZ45" s="129"/>
      <c r="COA45" s="128"/>
      <c r="COB45" s="129"/>
      <c r="COC45" s="128"/>
      <c r="COD45" s="129"/>
      <c r="COE45" s="128"/>
      <c r="COF45" s="129"/>
      <c r="COG45" s="128"/>
      <c r="COH45" s="129"/>
      <c r="COI45" s="128"/>
      <c r="COJ45" s="129"/>
      <c r="COK45" s="128"/>
      <c r="COL45" s="129"/>
      <c r="COM45" s="128"/>
      <c r="CON45" s="129"/>
      <c r="COO45" s="128"/>
      <c r="COP45" s="129"/>
      <c r="COQ45" s="128"/>
      <c r="COR45" s="129"/>
      <c r="COS45" s="128"/>
      <c r="COT45" s="129"/>
      <c r="COU45" s="128"/>
      <c r="COV45" s="129"/>
      <c r="COW45" s="128"/>
      <c r="COX45" s="129"/>
      <c r="COY45" s="128"/>
      <c r="COZ45" s="129"/>
      <c r="CPA45" s="128"/>
      <c r="CPB45" s="129"/>
      <c r="CPC45" s="128"/>
      <c r="CPD45" s="129"/>
      <c r="CPE45" s="128"/>
      <c r="CPF45" s="129"/>
      <c r="CPG45" s="128"/>
      <c r="CPH45" s="129"/>
      <c r="CPI45" s="128"/>
      <c r="CPJ45" s="129"/>
      <c r="CPK45" s="128"/>
      <c r="CPL45" s="129"/>
      <c r="CPM45" s="128"/>
      <c r="CPN45" s="129"/>
      <c r="CPO45" s="128"/>
      <c r="CPP45" s="129"/>
      <c r="CPQ45" s="128"/>
      <c r="CPR45" s="129"/>
      <c r="CPS45" s="128"/>
      <c r="CPT45" s="129"/>
      <c r="CPU45" s="128"/>
      <c r="CPV45" s="129"/>
      <c r="CPW45" s="128"/>
      <c r="CPX45" s="129"/>
      <c r="CPY45" s="128"/>
      <c r="CPZ45" s="129"/>
      <c r="CQA45" s="128"/>
      <c r="CQB45" s="129"/>
      <c r="CQC45" s="128"/>
      <c r="CQD45" s="129"/>
      <c r="CQE45" s="128"/>
      <c r="CQF45" s="129"/>
      <c r="CQG45" s="128"/>
      <c r="CQH45" s="129"/>
      <c r="CQI45" s="128"/>
      <c r="CQJ45" s="129"/>
      <c r="CQK45" s="128"/>
      <c r="CQL45" s="129"/>
      <c r="CQM45" s="128"/>
      <c r="CQN45" s="129"/>
      <c r="CQO45" s="128"/>
      <c r="CQP45" s="129"/>
      <c r="CQQ45" s="128"/>
      <c r="CQR45" s="129"/>
      <c r="CQS45" s="128"/>
      <c r="CQT45" s="129"/>
      <c r="CQU45" s="128"/>
      <c r="CQV45" s="129"/>
      <c r="CQW45" s="128"/>
      <c r="CQX45" s="129"/>
      <c r="CQY45" s="128"/>
      <c r="CQZ45" s="129"/>
      <c r="CRA45" s="128"/>
      <c r="CRB45" s="129"/>
      <c r="CRC45" s="128"/>
      <c r="CRD45" s="129"/>
      <c r="CRE45" s="128"/>
      <c r="CRF45" s="129"/>
      <c r="CRG45" s="128"/>
      <c r="CRH45" s="129"/>
      <c r="CRI45" s="128"/>
      <c r="CRJ45" s="129"/>
      <c r="CRK45" s="128"/>
      <c r="CRL45" s="129"/>
      <c r="CRM45" s="128"/>
      <c r="CRN45" s="129"/>
      <c r="CRO45" s="128"/>
      <c r="CRP45" s="129"/>
      <c r="CRQ45" s="128"/>
      <c r="CRR45" s="129"/>
      <c r="CRS45" s="128"/>
      <c r="CRT45" s="129"/>
      <c r="CRU45" s="128"/>
      <c r="CRV45" s="129"/>
      <c r="CRW45" s="128"/>
      <c r="CRX45" s="129"/>
      <c r="CRY45" s="128"/>
      <c r="CRZ45" s="129"/>
      <c r="CSA45" s="128"/>
      <c r="CSB45" s="129"/>
      <c r="CSC45" s="128"/>
      <c r="CSD45" s="129"/>
      <c r="CSE45" s="128"/>
      <c r="CSF45" s="129"/>
      <c r="CSG45" s="128"/>
      <c r="CSH45" s="129"/>
      <c r="CSI45" s="128"/>
      <c r="CSJ45" s="129"/>
      <c r="CSK45" s="128"/>
      <c r="CSL45" s="129"/>
      <c r="CSM45" s="128"/>
      <c r="CSN45" s="129"/>
      <c r="CSO45" s="128"/>
      <c r="CSP45" s="129"/>
      <c r="CSQ45" s="128"/>
      <c r="CSR45" s="129"/>
      <c r="CSS45" s="128"/>
      <c r="CST45" s="129"/>
      <c r="CSU45" s="128"/>
      <c r="CSV45" s="129"/>
      <c r="CSW45" s="128"/>
      <c r="CSX45" s="129"/>
      <c r="CSY45" s="128"/>
      <c r="CSZ45" s="129"/>
      <c r="CTA45" s="128"/>
      <c r="CTB45" s="129"/>
      <c r="CTC45" s="128"/>
      <c r="CTD45" s="129"/>
      <c r="CTE45" s="128"/>
      <c r="CTF45" s="129"/>
      <c r="CTG45" s="128"/>
      <c r="CTH45" s="129"/>
      <c r="CTI45" s="128"/>
      <c r="CTJ45" s="129"/>
      <c r="CTK45" s="128"/>
      <c r="CTL45" s="129"/>
      <c r="CTM45" s="128"/>
      <c r="CTN45" s="129"/>
      <c r="CTO45" s="128"/>
      <c r="CTP45" s="129"/>
      <c r="CTQ45" s="128"/>
      <c r="CTR45" s="129"/>
      <c r="CTS45" s="128"/>
      <c r="CTT45" s="129"/>
      <c r="CTU45" s="128"/>
      <c r="CTV45" s="129"/>
      <c r="CTW45" s="128"/>
      <c r="CTX45" s="129"/>
      <c r="CTY45" s="128"/>
      <c r="CTZ45" s="129"/>
      <c r="CUA45" s="128"/>
      <c r="CUB45" s="129"/>
      <c r="CUC45" s="128"/>
      <c r="CUD45" s="129"/>
      <c r="CUE45" s="128"/>
      <c r="CUF45" s="129"/>
      <c r="CUG45" s="128"/>
      <c r="CUH45" s="129"/>
      <c r="CUI45" s="128"/>
      <c r="CUJ45" s="129"/>
      <c r="CUK45" s="128"/>
      <c r="CUL45" s="129"/>
      <c r="CUM45" s="128"/>
      <c r="CUN45" s="129"/>
      <c r="CUO45" s="128"/>
      <c r="CUP45" s="129"/>
      <c r="CUQ45" s="128"/>
      <c r="CUR45" s="129"/>
      <c r="CUS45" s="128"/>
      <c r="CUT45" s="129"/>
      <c r="CUU45" s="128"/>
      <c r="CUV45" s="129"/>
      <c r="CUW45" s="128"/>
      <c r="CUX45" s="129"/>
      <c r="CUY45" s="128"/>
      <c r="CUZ45" s="129"/>
      <c r="CVA45" s="128"/>
      <c r="CVB45" s="129"/>
      <c r="CVC45" s="128"/>
      <c r="CVD45" s="129"/>
      <c r="CVE45" s="128"/>
      <c r="CVF45" s="129"/>
      <c r="CVG45" s="128"/>
      <c r="CVH45" s="129"/>
      <c r="CVI45" s="128"/>
      <c r="CVJ45" s="129"/>
      <c r="CVK45" s="128"/>
      <c r="CVL45" s="129"/>
      <c r="CVM45" s="128"/>
      <c r="CVN45" s="129"/>
      <c r="CVO45" s="128"/>
      <c r="CVP45" s="129"/>
      <c r="CVQ45" s="128"/>
      <c r="CVR45" s="129"/>
      <c r="CVS45" s="128"/>
      <c r="CVT45" s="129"/>
      <c r="CVU45" s="128"/>
      <c r="CVV45" s="129"/>
      <c r="CVW45" s="128"/>
      <c r="CVX45" s="129"/>
      <c r="CVY45" s="128"/>
      <c r="CVZ45" s="129"/>
      <c r="CWA45" s="128"/>
      <c r="CWB45" s="129"/>
      <c r="CWC45" s="128"/>
      <c r="CWD45" s="129"/>
      <c r="CWE45" s="128"/>
      <c r="CWF45" s="129"/>
      <c r="CWG45" s="128"/>
      <c r="CWH45" s="129"/>
      <c r="CWI45" s="128"/>
      <c r="CWJ45" s="129"/>
      <c r="CWK45" s="128"/>
      <c r="CWL45" s="129"/>
      <c r="CWM45" s="128"/>
      <c r="CWN45" s="129"/>
      <c r="CWO45" s="128"/>
      <c r="CWP45" s="129"/>
      <c r="CWQ45" s="128"/>
      <c r="CWR45" s="129"/>
      <c r="CWS45" s="128"/>
      <c r="CWT45" s="129"/>
      <c r="CWU45" s="128"/>
      <c r="CWV45" s="129"/>
      <c r="CWW45" s="128"/>
      <c r="CWX45" s="129"/>
      <c r="CWY45" s="128"/>
      <c r="CWZ45" s="129"/>
      <c r="CXA45" s="128"/>
      <c r="CXB45" s="129"/>
      <c r="CXC45" s="128"/>
      <c r="CXD45" s="129"/>
      <c r="CXE45" s="128"/>
      <c r="CXF45" s="129"/>
      <c r="CXG45" s="128"/>
      <c r="CXH45" s="129"/>
      <c r="CXI45" s="128"/>
      <c r="CXJ45" s="129"/>
      <c r="CXK45" s="128"/>
      <c r="CXL45" s="129"/>
      <c r="CXM45" s="128"/>
      <c r="CXN45" s="129"/>
      <c r="CXO45" s="128"/>
      <c r="CXP45" s="129"/>
      <c r="CXQ45" s="128"/>
      <c r="CXR45" s="129"/>
      <c r="CXS45" s="128"/>
      <c r="CXT45" s="129"/>
      <c r="CXU45" s="128"/>
      <c r="CXV45" s="129"/>
      <c r="CXW45" s="128"/>
      <c r="CXX45" s="129"/>
      <c r="CXY45" s="128"/>
      <c r="CXZ45" s="129"/>
      <c r="CYA45" s="128"/>
      <c r="CYB45" s="129"/>
      <c r="CYC45" s="128"/>
      <c r="CYD45" s="129"/>
      <c r="CYE45" s="128"/>
      <c r="CYF45" s="129"/>
      <c r="CYG45" s="128"/>
      <c r="CYH45" s="129"/>
      <c r="CYI45" s="128"/>
      <c r="CYJ45" s="129"/>
      <c r="CYK45" s="128"/>
      <c r="CYL45" s="129"/>
      <c r="CYM45" s="128"/>
      <c r="CYN45" s="129"/>
      <c r="CYO45" s="128"/>
      <c r="CYP45" s="129"/>
      <c r="CYQ45" s="128"/>
      <c r="CYR45" s="129"/>
      <c r="CYS45" s="128"/>
      <c r="CYT45" s="129"/>
      <c r="CYU45" s="128"/>
      <c r="CYV45" s="129"/>
      <c r="CYW45" s="128"/>
      <c r="CYX45" s="129"/>
      <c r="CYY45" s="128"/>
      <c r="CYZ45" s="129"/>
      <c r="CZA45" s="128"/>
      <c r="CZB45" s="129"/>
      <c r="CZC45" s="128"/>
      <c r="CZD45" s="129"/>
      <c r="CZE45" s="128"/>
      <c r="CZF45" s="129"/>
      <c r="CZG45" s="128"/>
      <c r="CZH45" s="129"/>
      <c r="CZI45" s="128"/>
      <c r="CZJ45" s="129"/>
      <c r="CZK45" s="128"/>
      <c r="CZL45" s="129"/>
      <c r="CZM45" s="128"/>
      <c r="CZN45" s="129"/>
      <c r="CZO45" s="128"/>
      <c r="CZP45" s="129"/>
      <c r="CZQ45" s="128"/>
      <c r="CZR45" s="129"/>
      <c r="CZS45" s="128"/>
      <c r="CZT45" s="129"/>
      <c r="CZU45" s="128"/>
      <c r="CZV45" s="129"/>
      <c r="CZW45" s="128"/>
      <c r="CZX45" s="129"/>
      <c r="CZY45" s="128"/>
      <c r="CZZ45" s="129"/>
      <c r="DAA45" s="128"/>
      <c r="DAB45" s="129"/>
      <c r="DAC45" s="128"/>
      <c r="DAD45" s="129"/>
      <c r="DAE45" s="128"/>
      <c r="DAF45" s="129"/>
      <c r="DAG45" s="128"/>
      <c r="DAH45" s="129"/>
      <c r="DAI45" s="128"/>
      <c r="DAJ45" s="129"/>
      <c r="DAK45" s="128"/>
      <c r="DAL45" s="129"/>
      <c r="DAM45" s="128"/>
      <c r="DAN45" s="129"/>
      <c r="DAO45" s="128"/>
      <c r="DAP45" s="129"/>
      <c r="DAQ45" s="128"/>
      <c r="DAR45" s="129"/>
      <c r="DAS45" s="128"/>
      <c r="DAT45" s="129"/>
      <c r="DAU45" s="128"/>
      <c r="DAV45" s="129"/>
      <c r="DAW45" s="128"/>
      <c r="DAX45" s="129"/>
      <c r="DAY45" s="128"/>
      <c r="DAZ45" s="129"/>
      <c r="DBA45" s="128"/>
      <c r="DBB45" s="129"/>
      <c r="DBC45" s="128"/>
      <c r="DBD45" s="129"/>
      <c r="DBE45" s="128"/>
      <c r="DBF45" s="129"/>
      <c r="DBG45" s="128"/>
      <c r="DBH45" s="129"/>
      <c r="DBI45" s="128"/>
      <c r="DBJ45" s="129"/>
      <c r="DBK45" s="128"/>
      <c r="DBL45" s="129"/>
      <c r="DBM45" s="128"/>
      <c r="DBN45" s="129"/>
      <c r="DBO45" s="128"/>
      <c r="DBP45" s="129"/>
      <c r="DBQ45" s="128"/>
      <c r="DBR45" s="129"/>
      <c r="DBS45" s="128"/>
      <c r="DBT45" s="129"/>
      <c r="DBU45" s="128"/>
      <c r="DBV45" s="129"/>
      <c r="DBW45" s="128"/>
      <c r="DBX45" s="129"/>
      <c r="DBY45" s="128"/>
      <c r="DBZ45" s="129"/>
      <c r="DCA45" s="128"/>
      <c r="DCB45" s="129"/>
      <c r="DCC45" s="128"/>
      <c r="DCD45" s="129"/>
      <c r="DCE45" s="128"/>
      <c r="DCF45" s="129"/>
      <c r="DCG45" s="128"/>
      <c r="DCH45" s="129"/>
      <c r="DCI45" s="128"/>
      <c r="DCJ45" s="129"/>
      <c r="DCK45" s="128"/>
      <c r="DCL45" s="129"/>
      <c r="DCM45" s="128"/>
      <c r="DCN45" s="129"/>
      <c r="DCO45" s="128"/>
      <c r="DCP45" s="129"/>
      <c r="DCQ45" s="128"/>
      <c r="DCR45" s="129"/>
      <c r="DCS45" s="128"/>
      <c r="DCT45" s="129"/>
      <c r="DCU45" s="128"/>
      <c r="DCV45" s="129"/>
      <c r="DCW45" s="128"/>
      <c r="DCX45" s="129"/>
      <c r="DCY45" s="128"/>
      <c r="DCZ45" s="129"/>
      <c r="DDA45" s="128"/>
      <c r="DDB45" s="129"/>
      <c r="DDC45" s="128"/>
      <c r="DDD45" s="129"/>
      <c r="DDE45" s="128"/>
      <c r="DDF45" s="129"/>
      <c r="DDG45" s="128"/>
      <c r="DDH45" s="129"/>
      <c r="DDI45" s="128"/>
      <c r="DDJ45" s="129"/>
      <c r="DDK45" s="128"/>
      <c r="DDL45" s="129"/>
      <c r="DDM45" s="128"/>
      <c r="DDN45" s="129"/>
      <c r="DDO45" s="128"/>
      <c r="DDP45" s="129"/>
      <c r="DDQ45" s="128"/>
      <c r="DDR45" s="129"/>
      <c r="DDS45" s="128"/>
      <c r="DDT45" s="129"/>
      <c r="DDU45" s="128"/>
      <c r="DDV45" s="129"/>
      <c r="DDW45" s="128"/>
      <c r="DDX45" s="129"/>
      <c r="DDY45" s="128"/>
      <c r="DDZ45" s="129"/>
      <c r="DEA45" s="128"/>
      <c r="DEB45" s="129"/>
      <c r="DEC45" s="128"/>
      <c r="DED45" s="129"/>
      <c r="DEE45" s="128"/>
      <c r="DEF45" s="129"/>
      <c r="DEG45" s="128"/>
      <c r="DEH45" s="129"/>
      <c r="DEI45" s="128"/>
      <c r="DEJ45" s="129"/>
      <c r="DEK45" s="128"/>
      <c r="DEL45" s="129"/>
      <c r="DEM45" s="128"/>
      <c r="DEN45" s="129"/>
      <c r="DEO45" s="128"/>
      <c r="DEP45" s="129"/>
      <c r="DEQ45" s="128"/>
      <c r="DER45" s="129"/>
      <c r="DES45" s="128"/>
      <c r="DET45" s="129"/>
      <c r="DEU45" s="128"/>
      <c r="DEV45" s="129"/>
      <c r="DEW45" s="128"/>
      <c r="DEX45" s="129"/>
      <c r="DEY45" s="128"/>
      <c r="DEZ45" s="129"/>
      <c r="DFA45" s="128"/>
      <c r="DFB45" s="129"/>
      <c r="DFC45" s="128"/>
      <c r="DFD45" s="129"/>
      <c r="DFE45" s="128"/>
      <c r="DFF45" s="129"/>
      <c r="DFG45" s="128"/>
      <c r="DFH45" s="129"/>
      <c r="DFI45" s="128"/>
      <c r="DFJ45" s="129"/>
      <c r="DFK45" s="128"/>
      <c r="DFL45" s="129"/>
      <c r="DFM45" s="128"/>
      <c r="DFN45" s="129"/>
      <c r="DFO45" s="128"/>
      <c r="DFP45" s="129"/>
      <c r="DFQ45" s="128"/>
      <c r="DFR45" s="129"/>
      <c r="DFS45" s="128"/>
      <c r="DFT45" s="129"/>
      <c r="DFU45" s="128"/>
      <c r="DFV45" s="129"/>
      <c r="DFW45" s="128"/>
      <c r="DFX45" s="129"/>
      <c r="DFY45" s="128"/>
      <c r="DFZ45" s="129"/>
      <c r="DGA45" s="128"/>
      <c r="DGB45" s="129"/>
      <c r="DGC45" s="128"/>
      <c r="DGD45" s="129"/>
      <c r="DGE45" s="128"/>
      <c r="DGF45" s="129"/>
      <c r="DGG45" s="128"/>
      <c r="DGH45" s="129"/>
      <c r="DGI45" s="128"/>
      <c r="DGJ45" s="129"/>
      <c r="DGK45" s="128"/>
      <c r="DGL45" s="129"/>
      <c r="DGM45" s="128"/>
      <c r="DGN45" s="129"/>
      <c r="DGO45" s="128"/>
      <c r="DGP45" s="129"/>
      <c r="DGQ45" s="128"/>
      <c r="DGR45" s="129"/>
      <c r="DGS45" s="128"/>
      <c r="DGT45" s="129"/>
      <c r="DGU45" s="128"/>
      <c r="DGV45" s="129"/>
      <c r="DGW45" s="128"/>
      <c r="DGX45" s="129"/>
      <c r="DGY45" s="128"/>
      <c r="DGZ45" s="129"/>
      <c r="DHA45" s="128"/>
      <c r="DHB45" s="129"/>
      <c r="DHC45" s="128"/>
      <c r="DHD45" s="129"/>
      <c r="DHE45" s="128"/>
      <c r="DHF45" s="129"/>
      <c r="DHG45" s="128"/>
      <c r="DHH45" s="129"/>
      <c r="DHI45" s="128"/>
      <c r="DHJ45" s="129"/>
      <c r="DHK45" s="128"/>
      <c r="DHL45" s="129"/>
      <c r="DHM45" s="128"/>
      <c r="DHN45" s="129"/>
      <c r="DHO45" s="128"/>
      <c r="DHP45" s="129"/>
      <c r="DHQ45" s="128"/>
      <c r="DHR45" s="129"/>
      <c r="DHS45" s="128"/>
      <c r="DHT45" s="129"/>
      <c r="DHU45" s="128"/>
      <c r="DHV45" s="129"/>
      <c r="DHW45" s="128"/>
      <c r="DHX45" s="129"/>
      <c r="DHY45" s="128"/>
      <c r="DHZ45" s="129"/>
      <c r="DIA45" s="128"/>
      <c r="DIB45" s="129"/>
      <c r="DIC45" s="128"/>
      <c r="DID45" s="129"/>
      <c r="DIE45" s="128"/>
      <c r="DIF45" s="129"/>
      <c r="DIG45" s="128"/>
      <c r="DIH45" s="129"/>
      <c r="DII45" s="128"/>
      <c r="DIJ45" s="129"/>
      <c r="DIK45" s="128"/>
      <c r="DIL45" s="129"/>
      <c r="DIM45" s="128"/>
      <c r="DIN45" s="129"/>
      <c r="DIO45" s="128"/>
      <c r="DIP45" s="129"/>
      <c r="DIQ45" s="128"/>
      <c r="DIR45" s="129"/>
      <c r="DIS45" s="128"/>
      <c r="DIT45" s="129"/>
      <c r="DIU45" s="128"/>
      <c r="DIV45" s="129"/>
      <c r="DIW45" s="128"/>
      <c r="DIX45" s="129"/>
      <c r="DIY45" s="128"/>
      <c r="DIZ45" s="129"/>
      <c r="DJA45" s="128"/>
      <c r="DJB45" s="129"/>
      <c r="DJC45" s="128"/>
      <c r="DJD45" s="129"/>
      <c r="DJE45" s="128"/>
      <c r="DJF45" s="129"/>
      <c r="DJG45" s="128"/>
      <c r="DJH45" s="129"/>
      <c r="DJI45" s="128"/>
      <c r="DJJ45" s="129"/>
      <c r="DJK45" s="128"/>
      <c r="DJL45" s="129"/>
      <c r="DJM45" s="128"/>
      <c r="DJN45" s="129"/>
      <c r="DJO45" s="128"/>
      <c r="DJP45" s="129"/>
      <c r="DJQ45" s="128"/>
      <c r="DJR45" s="129"/>
      <c r="DJS45" s="128"/>
      <c r="DJT45" s="129"/>
      <c r="DJU45" s="128"/>
      <c r="DJV45" s="129"/>
      <c r="DJW45" s="128"/>
      <c r="DJX45" s="129"/>
      <c r="DJY45" s="128"/>
      <c r="DJZ45" s="129"/>
      <c r="DKA45" s="128"/>
      <c r="DKB45" s="129"/>
      <c r="DKC45" s="128"/>
      <c r="DKD45" s="129"/>
      <c r="DKE45" s="128"/>
      <c r="DKF45" s="129"/>
      <c r="DKG45" s="128"/>
      <c r="DKH45" s="129"/>
      <c r="DKI45" s="128"/>
      <c r="DKJ45" s="129"/>
      <c r="DKK45" s="128"/>
      <c r="DKL45" s="129"/>
      <c r="DKM45" s="128"/>
      <c r="DKN45" s="129"/>
      <c r="DKO45" s="128"/>
      <c r="DKP45" s="129"/>
      <c r="DKQ45" s="128"/>
      <c r="DKR45" s="129"/>
      <c r="DKS45" s="128"/>
      <c r="DKT45" s="129"/>
      <c r="DKU45" s="128"/>
      <c r="DKV45" s="129"/>
      <c r="DKW45" s="128"/>
      <c r="DKX45" s="129"/>
      <c r="DKY45" s="128"/>
      <c r="DKZ45" s="129"/>
      <c r="DLA45" s="128"/>
      <c r="DLB45" s="129"/>
      <c r="DLC45" s="128"/>
      <c r="DLD45" s="129"/>
      <c r="DLE45" s="128"/>
      <c r="DLF45" s="129"/>
      <c r="DLG45" s="128"/>
      <c r="DLH45" s="129"/>
      <c r="DLI45" s="128"/>
      <c r="DLJ45" s="129"/>
      <c r="DLK45" s="128"/>
      <c r="DLL45" s="129"/>
      <c r="DLM45" s="128"/>
      <c r="DLN45" s="129"/>
      <c r="DLO45" s="128"/>
      <c r="DLP45" s="129"/>
      <c r="DLQ45" s="128"/>
      <c r="DLR45" s="129"/>
      <c r="DLS45" s="128"/>
      <c r="DLT45" s="129"/>
      <c r="DLU45" s="128"/>
      <c r="DLV45" s="129"/>
      <c r="DLW45" s="128"/>
      <c r="DLX45" s="129"/>
      <c r="DLY45" s="128"/>
      <c r="DLZ45" s="129"/>
      <c r="DMA45" s="128"/>
      <c r="DMB45" s="129"/>
      <c r="DMC45" s="128"/>
      <c r="DMD45" s="129"/>
      <c r="DME45" s="128"/>
      <c r="DMF45" s="129"/>
      <c r="DMG45" s="128"/>
      <c r="DMH45" s="129"/>
      <c r="DMI45" s="128"/>
      <c r="DMJ45" s="129"/>
      <c r="DMK45" s="128"/>
      <c r="DML45" s="129"/>
      <c r="DMM45" s="128"/>
      <c r="DMN45" s="129"/>
      <c r="DMO45" s="128"/>
      <c r="DMP45" s="129"/>
      <c r="DMQ45" s="128"/>
      <c r="DMR45" s="129"/>
      <c r="DMS45" s="128"/>
      <c r="DMT45" s="129"/>
      <c r="DMU45" s="128"/>
      <c r="DMV45" s="129"/>
      <c r="DMW45" s="128"/>
      <c r="DMX45" s="129"/>
      <c r="DMY45" s="128"/>
      <c r="DMZ45" s="129"/>
      <c r="DNA45" s="128"/>
      <c r="DNB45" s="129"/>
      <c r="DNC45" s="128"/>
      <c r="DND45" s="129"/>
      <c r="DNE45" s="128"/>
      <c r="DNF45" s="129"/>
      <c r="DNG45" s="128"/>
      <c r="DNH45" s="129"/>
      <c r="DNI45" s="128"/>
      <c r="DNJ45" s="129"/>
      <c r="DNK45" s="128"/>
      <c r="DNL45" s="129"/>
      <c r="DNM45" s="128"/>
      <c r="DNN45" s="129"/>
      <c r="DNO45" s="128"/>
      <c r="DNP45" s="129"/>
      <c r="DNQ45" s="128"/>
      <c r="DNR45" s="129"/>
      <c r="DNS45" s="128"/>
      <c r="DNT45" s="129"/>
      <c r="DNU45" s="128"/>
      <c r="DNV45" s="129"/>
      <c r="DNW45" s="128"/>
      <c r="DNX45" s="129"/>
      <c r="DNY45" s="128"/>
      <c r="DNZ45" s="129"/>
      <c r="DOA45" s="128"/>
      <c r="DOB45" s="129"/>
      <c r="DOC45" s="128"/>
      <c r="DOD45" s="129"/>
      <c r="DOE45" s="128"/>
      <c r="DOF45" s="129"/>
      <c r="DOG45" s="128"/>
      <c r="DOH45" s="129"/>
      <c r="DOI45" s="128"/>
      <c r="DOJ45" s="129"/>
      <c r="DOK45" s="128"/>
      <c r="DOL45" s="129"/>
      <c r="DOM45" s="128"/>
      <c r="DON45" s="129"/>
      <c r="DOO45" s="128"/>
      <c r="DOP45" s="129"/>
      <c r="DOQ45" s="128"/>
      <c r="DOR45" s="129"/>
      <c r="DOS45" s="128"/>
      <c r="DOT45" s="129"/>
      <c r="DOU45" s="128"/>
      <c r="DOV45" s="129"/>
      <c r="DOW45" s="128"/>
      <c r="DOX45" s="129"/>
      <c r="DOY45" s="128"/>
      <c r="DOZ45" s="129"/>
      <c r="DPA45" s="128"/>
      <c r="DPB45" s="129"/>
      <c r="DPC45" s="128"/>
      <c r="DPD45" s="129"/>
      <c r="DPE45" s="128"/>
      <c r="DPF45" s="129"/>
      <c r="DPG45" s="128"/>
      <c r="DPH45" s="129"/>
      <c r="DPI45" s="128"/>
      <c r="DPJ45" s="129"/>
      <c r="DPK45" s="128"/>
      <c r="DPL45" s="129"/>
      <c r="DPM45" s="128"/>
      <c r="DPN45" s="129"/>
      <c r="DPO45" s="128"/>
      <c r="DPP45" s="129"/>
      <c r="DPQ45" s="128"/>
      <c r="DPR45" s="129"/>
      <c r="DPS45" s="128"/>
      <c r="DPT45" s="129"/>
      <c r="DPU45" s="128"/>
      <c r="DPV45" s="129"/>
      <c r="DPW45" s="128"/>
      <c r="DPX45" s="129"/>
      <c r="DPY45" s="128"/>
      <c r="DPZ45" s="129"/>
      <c r="DQA45" s="128"/>
      <c r="DQB45" s="129"/>
      <c r="DQC45" s="128"/>
      <c r="DQD45" s="129"/>
      <c r="DQE45" s="128"/>
      <c r="DQF45" s="129"/>
      <c r="DQG45" s="128"/>
      <c r="DQH45" s="129"/>
      <c r="DQI45" s="128"/>
      <c r="DQJ45" s="129"/>
      <c r="DQK45" s="128"/>
      <c r="DQL45" s="129"/>
      <c r="DQM45" s="128"/>
      <c r="DQN45" s="129"/>
      <c r="DQO45" s="128"/>
      <c r="DQP45" s="129"/>
      <c r="DQQ45" s="128"/>
      <c r="DQR45" s="129"/>
      <c r="DQS45" s="128"/>
      <c r="DQT45" s="129"/>
      <c r="DQU45" s="128"/>
      <c r="DQV45" s="129"/>
      <c r="DQW45" s="128"/>
      <c r="DQX45" s="129"/>
      <c r="DQY45" s="128"/>
      <c r="DQZ45" s="129"/>
      <c r="DRA45" s="128"/>
      <c r="DRB45" s="129"/>
      <c r="DRC45" s="128"/>
      <c r="DRD45" s="129"/>
      <c r="DRE45" s="128"/>
      <c r="DRF45" s="129"/>
      <c r="DRG45" s="128"/>
      <c r="DRH45" s="129"/>
      <c r="DRI45" s="128"/>
      <c r="DRJ45" s="129"/>
      <c r="DRK45" s="128"/>
      <c r="DRL45" s="129"/>
      <c r="DRM45" s="128"/>
      <c r="DRN45" s="129"/>
      <c r="DRO45" s="128"/>
      <c r="DRP45" s="129"/>
      <c r="DRQ45" s="128"/>
      <c r="DRR45" s="129"/>
      <c r="DRS45" s="128"/>
      <c r="DRT45" s="129"/>
      <c r="DRU45" s="128"/>
      <c r="DRV45" s="129"/>
      <c r="DRW45" s="128"/>
      <c r="DRX45" s="129"/>
      <c r="DRY45" s="128"/>
      <c r="DRZ45" s="129"/>
      <c r="DSA45" s="128"/>
      <c r="DSB45" s="129"/>
      <c r="DSC45" s="128"/>
      <c r="DSD45" s="129"/>
      <c r="DSE45" s="128"/>
      <c r="DSF45" s="129"/>
      <c r="DSG45" s="128"/>
      <c r="DSH45" s="129"/>
      <c r="DSI45" s="128"/>
      <c r="DSJ45" s="129"/>
      <c r="DSK45" s="128"/>
      <c r="DSL45" s="129"/>
      <c r="DSM45" s="128"/>
      <c r="DSN45" s="129"/>
      <c r="DSO45" s="128"/>
      <c r="DSP45" s="129"/>
      <c r="DSQ45" s="128"/>
      <c r="DSR45" s="129"/>
      <c r="DSS45" s="128"/>
      <c r="DST45" s="129"/>
      <c r="DSU45" s="128"/>
      <c r="DSV45" s="129"/>
      <c r="DSW45" s="128"/>
      <c r="DSX45" s="129"/>
      <c r="DSY45" s="128"/>
      <c r="DSZ45" s="129"/>
      <c r="DTA45" s="128"/>
      <c r="DTB45" s="129"/>
      <c r="DTC45" s="128"/>
      <c r="DTD45" s="129"/>
      <c r="DTE45" s="128"/>
      <c r="DTF45" s="129"/>
      <c r="DTG45" s="128"/>
      <c r="DTH45" s="129"/>
      <c r="DTI45" s="128"/>
      <c r="DTJ45" s="129"/>
      <c r="DTK45" s="128"/>
      <c r="DTL45" s="129"/>
      <c r="DTM45" s="128"/>
      <c r="DTN45" s="129"/>
      <c r="DTO45" s="128"/>
      <c r="DTP45" s="129"/>
      <c r="DTQ45" s="128"/>
      <c r="DTR45" s="129"/>
      <c r="DTS45" s="128"/>
      <c r="DTT45" s="129"/>
      <c r="DTU45" s="128"/>
      <c r="DTV45" s="129"/>
      <c r="DTW45" s="128"/>
      <c r="DTX45" s="129"/>
      <c r="DTY45" s="128"/>
      <c r="DTZ45" s="129"/>
      <c r="DUA45" s="128"/>
      <c r="DUB45" s="129"/>
      <c r="DUC45" s="128"/>
      <c r="DUD45" s="129"/>
      <c r="DUE45" s="128"/>
      <c r="DUF45" s="129"/>
      <c r="DUG45" s="128"/>
      <c r="DUH45" s="129"/>
      <c r="DUI45" s="128"/>
      <c r="DUJ45" s="129"/>
      <c r="DUK45" s="128"/>
      <c r="DUL45" s="129"/>
      <c r="DUM45" s="128"/>
      <c r="DUN45" s="129"/>
      <c r="DUO45" s="128"/>
      <c r="DUP45" s="129"/>
      <c r="DUQ45" s="128"/>
      <c r="DUR45" s="129"/>
      <c r="DUS45" s="128"/>
      <c r="DUT45" s="129"/>
      <c r="DUU45" s="128"/>
      <c r="DUV45" s="129"/>
      <c r="DUW45" s="128"/>
      <c r="DUX45" s="129"/>
      <c r="DUY45" s="128"/>
      <c r="DUZ45" s="129"/>
      <c r="DVA45" s="128"/>
      <c r="DVB45" s="129"/>
      <c r="DVC45" s="128"/>
      <c r="DVD45" s="129"/>
      <c r="DVE45" s="128"/>
      <c r="DVF45" s="129"/>
      <c r="DVG45" s="128"/>
      <c r="DVH45" s="129"/>
      <c r="DVI45" s="128"/>
      <c r="DVJ45" s="129"/>
      <c r="DVK45" s="128"/>
      <c r="DVL45" s="129"/>
      <c r="DVM45" s="128"/>
      <c r="DVN45" s="129"/>
      <c r="DVO45" s="128"/>
      <c r="DVP45" s="129"/>
      <c r="DVQ45" s="128"/>
      <c r="DVR45" s="129"/>
      <c r="DVS45" s="128"/>
      <c r="DVT45" s="129"/>
      <c r="DVU45" s="128"/>
      <c r="DVV45" s="129"/>
      <c r="DVW45" s="128"/>
      <c r="DVX45" s="129"/>
      <c r="DVY45" s="128"/>
      <c r="DVZ45" s="129"/>
      <c r="DWA45" s="128"/>
      <c r="DWB45" s="129"/>
      <c r="DWC45" s="128"/>
      <c r="DWD45" s="129"/>
      <c r="DWE45" s="128"/>
      <c r="DWF45" s="129"/>
      <c r="DWG45" s="128"/>
      <c r="DWH45" s="129"/>
      <c r="DWI45" s="128"/>
      <c r="DWJ45" s="129"/>
      <c r="DWK45" s="128"/>
      <c r="DWL45" s="129"/>
      <c r="DWM45" s="128"/>
      <c r="DWN45" s="129"/>
      <c r="DWO45" s="128"/>
      <c r="DWP45" s="129"/>
      <c r="DWQ45" s="128"/>
      <c r="DWR45" s="129"/>
      <c r="DWS45" s="128"/>
      <c r="DWT45" s="129"/>
      <c r="DWU45" s="128"/>
      <c r="DWV45" s="129"/>
      <c r="DWW45" s="128"/>
      <c r="DWX45" s="129"/>
      <c r="DWY45" s="128"/>
      <c r="DWZ45" s="129"/>
      <c r="DXA45" s="128"/>
      <c r="DXB45" s="129"/>
      <c r="DXC45" s="128"/>
      <c r="DXD45" s="129"/>
      <c r="DXE45" s="128"/>
      <c r="DXF45" s="129"/>
      <c r="DXG45" s="128"/>
      <c r="DXH45" s="129"/>
      <c r="DXI45" s="128"/>
      <c r="DXJ45" s="129"/>
      <c r="DXK45" s="128"/>
      <c r="DXL45" s="129"/>
      <c r="DXM45" s="128"/>
      <c r="DXN45" s="129"/>
      <c r="DXO45" s="128"/>
      <c r="DXP45" s="129"/>
      <c r="DXQ45" s="128"/>
      <c r="DXR45" s="129"/>
      <c r="DXS45" s="128"/>
      <c r="DXT45" s="129"/>
      <c r="DXU45" s="128"/>
      <c r="DXV45" s="129"/>
      <c r="DXW45" s="128"/>
      <c r="DXX45" s="129"/>
      <c r="DXY45" s="128"/>
      <c r="DXZ45" s="129"/>
      <c r="DYA45" s="128"/>
      <c r="DYB45" s="129"/>
      <c r="DYC45" s="128"/>
      <c r="DYD45" s="129"/>
      <c r="DYE45" s="128"/>
      <c r="DYF45" s="129"/>
      <c r="DYG45" s="128"/>
      <c r="DYH45" s="129"/>
      <c r="DYI45" s="128"/>
      <c r="DYJ45" s="129"/>
      <c r="DYK45" s="128"/>
      <c r="DYL45" s="129"/>
      <c r="DYM45" s="128"/>
      <c r="DYN45" s="129"/>
      <c r="DYO45" s="128"/>
      <c r="DYP45" s="129"/>
      <c r="DYQ45" s="128"/>
      <c r="DYR45" s="129"/>
      <c r="DYS45" s="128"/>
      <c r="DYT45" s="129"/>
      <c r="DYU45" s="128"/>
      <c r="DYV45" s="129"/>
      <c r="DYW45" s="128"/>
      <c r="DYX45" s="129"/>
      <c r="DYY45" s="128"/>
      <c r="DYZ45" s="129"/>
      <c r="DZA45" s="128"/>
      <c r="DZB45" s="129"/>
      <c r="DZC45" s="128"/>
      <c r="DZD45" s="129"/>
      <c r="DZE45" s="128"/>
      <c r="DZF45" s="129"/>
      <c r="DZG45" s="128"/>
      <c r="DZH45" s="129"/>
      <c r="DZI45" s="128"/>
      <c r="DZJ45" s="129"/>
      <c r="DZK45" s="128"/>
      <c r="DZL45" s="129"/>
      <c r="DZM45" s="128"/>
      <c r="DZN45" s="129"/>
      <c r="DZO45" s="128"/>
      <c r="DZP45" s="129"/>
      <c r="DZQ45" s="128"/>
      <c r="DZR45" s="129"/>
      <c r="DZS45" s="128"/>
      <c r="DZT45" s="129"/>
      <c r="DZU45" s="128"/>
      <c r="DZV45" s="129"/>
      <c r="DZW45" s="128"/>
      <c r="DZX45" s="129"/>
      <c r="DZY45" s="128"/>
      <c r="DZZ45" s="129"/>
      <c r="EAA45" s="128"/>
      <c r="EAB45" s="129"/>
      <c r="EAC45" s="128"/>
      <c r="EAD45" s="129"/>
      <c r="EAE45" s="128"/>
      <c r="EAF45" s="129"/>
      <c r="EAG45" s="128"/>
      <c r="EAH45" s="129"/>
      <c r="EAI45" s="128"/>
      <c r="EAJ45" s="129"/>
      <c r="EAK45" s="128"/>
      <c r="EAL45" s="129"/>
      <c r="EAM45" s="128"/>
      <c r="EAN45" s="129"/>
      <c r="EAO45" s="128"/>
      <c r="EAP45" s="129"/>
      <c r="EAQ45" s="128"/>
      <c r="EAR45" s="129"/>
      <c r="EAS45" s="128"/>
      <c r="EAT45" s="129"/>
      <c r="EAU45" s="128"/>
      <c r="EAV45" s="129"/>
      <c r="EAW45" s="128"/>
      <c r="EAX45" s="129"/>
      <c r="EAY45" s="128"/>
      <c r="EAZ45" s="129"/>
      <c r="EBA45" s="128"/>
      <c r="EBB45" s="129"/>
      <c r="EBC45" s="128"/>
      <c r="EBD45" s="129"/>
      <c r="EBE45" s="128"/>
      <c r="EBF45" s="129"/>
      <c r="EBG45" s="128"/>
      <c r="EBH45" s="129"/>
      <c r="EBI45" s="128"/>
      <c r="EBJ45" s="129"/>
      <c r="EBK45" s="128"/>
      <c r="EBL45" s="129"/>
      <c r="EBM45" s="128"/>
      <c r="EBN45" s="129"/>
      <c r="EBO45" s="128"/>
      <c r="EBP45" s="129"/>
      <c r="EBQ45" s="128"/>
      <c r="EBR45" s="129"/>
      <c r="EBS45" s="128"/>
      <c r="EBT45" s="129"/>
      <c r="EBU45" s="128"/>
      <c r="EBV45" s="129"/>
      <c r="EBW45" s="128"/>
      <c r="EBX45" s="129"/>
      <c r="EBY45" s="128"/>
      <c r="EBZ45" s="129"/>
      <c r="ECA45" s="128"/>
      <c r="ECB45" s="129"/>
      <c r="ECC45" s="128"/>
      <c r="ECD45" s="129"/>
      <c r="ECE45" s="128"/>
      <c r="ECF45" s="129"/>
      <c r="ECG45" s="128"/>
      <c r="ECH45" s="129"/>
      <c r="ECI45" s="128"/>
      <c r="ECJ45" s="129"/>
      <c r="ECK45" s="128"/>
      <c r="ECL45" s="129"/>
      <c r="ECM45" s="128"/>
      <c r="ECN45" s="129"/>
      <c r="ECO45" s="128"/>
      <c r="ECP45" s="129"/>
      <c r="ECQ45" s="128"/>
      <c r="ECR45" s="129"/>
      <c r="ECS45" s="128"/>
      <c r="ECT45" s="129"/>
      <c r="ECU45" s="128"/>
      <c r="ECV45" s="129"/>
      <c r="ECW45" s="128"/>
      <c r="ECX45" s="129"/>
      <c r="ECY45" s="128"/>
      <c r="ECZ45" s="129"/>
      <c r="EDA45" s="128"/>
      <c r="EDB45" s="129"/>
      <c r="EDC45" s="128"/>
      <c r="EDD45" s="129"/>
      <c r="EDE45" s="128"/>
      <c r="EDF45" s="129"/>
      <c r="EDG45" s="128"/>
      <c r="EDH45" s="129"/>
      <c r="EDI45" s="128"/>
      <c r="EDJ45" s="129"/>
      <c r="EDK45" s="128"/>
      <c r="EDL45" s="129"/>
      <c r="EDM45" s="128"/>
      <c r="EDN45" s="129"/>
      <c r="EDO45" s="128"/>
      <c r="EDP45" s="129"/>
      <c r="EDQ45" s="128"/>
      <c r="EDR45" s="129"/>
      <c r="EDS45" s="128"/>
      <c r="EDT45" s="129"/>
      <c r="EDU45" s="128"/>
      <c r="EDV45" s="129"/>
      <c r="EDW45" s="128"/>
      <c r="EDX45" s="129"/>
      <c r="EDY45" s="128"/>
      <c r="EDZ45" s="129"/>
      <c r="EEA45" s="128"/>
      <c r="EEB45" s="129"/>
      <c r="EEC45" s="128"/>
      <c r="EED45" s="129"/>
      <c r="EEE45" s="128"/>
      <c r="EEF45" s="129"/>
      <c r="EEG45" s="128"/>
      <c r="EEH45" s="129"/>
      <c r="EEI45" s="128"/>
      <c r="EEJ45" s="129"/>
      <c r="EEK45" s="128"/>
      <c r="EEL45" s="129"/>
      <c r="EEM45" s="128"/>
      <c r="EEN45" s="129"/>
      <c r="EEO45" s="128"/>
      <c r="EEP45" s="129"/>
      <c r="EEQ45" s="128"/>
      <c r="EER45" s="129"/>
      <c r="EES45" s="128"/>
      <c r="EET45" s="129"/>
      <c r="EEU45" s="128"/>
      <c r="EEV45" s="129"/>
      <c r="EEW45" s="128"/>
      <c r="EEX45" s="129"/>
      <c r="EEY45" s="128"/>
      <c r="EEZ45" s="129"/>
      <c r="EFA45" s="128"/>
      <c r="EFB45" s="129"/>
      <c r="EFC45" s="128"/>
      <c r="EFD45" s="129"/>
      <c r="EFE45" s="128"/>
      <c r="EFF45" s="129"/>
      <c r="EFG45" s="128"/>
      <c r="EFH45" s="129"/>
      <c r="EFI45" s="128"/>
      <c r="EFJ45" s="129"/>
      <c r="EFK45" s="128"/>
      <c r="EFL45" s="129"/>
      <c r="EFM45" s="128"/>
      <c r="EFN45" s="129"/>
      <c r="EFO45" s="128"/>
      <c r="EFP45" s="129"/>
      <c r="EFQ45" s="128"/>
      <c r="EFR45" s="129"/>
      <c r="EFS45" s="128"/>
      <c r="EFT45" s="129"/>
      <c r="EFU45" s="128"/>
      <c r="EFV45" s="129"/>
      <c r="EFW45" s="128"/>
      <c r="EFX45" s="129"/>
      <c r="EFY45" s="128"/>
      <c r="EFZ45" s="129"/>
      <c r="EGA45" s="128"/>
      <c r="EGB45" s="129"/>
      <c r="EGC45" s="128"/>
      <c r="EGD45" s="129"/>
      <c r="EGE45" s="128"/>
      <c r="EGF45" s="129"/>
      <c r="EGG45" s="128"/>
      <c r="EGH45" s="129"/>
      <c r="EGI45" s="128"/>
      <c r="EGJ45" s="129"/>
      <c r="EGK45" s="128"/>
      <c r="EGL45" s="129"/>
      <c r="EGM45" s="128"/>
      <c r="EGN45" s="129"/>
      <c r="EGO45" s="128"/>
      <c r="EGP45" s="129"/>
      <c r="EGQ45" s="128"/>
      <c r="EGR45" s="129"/>
      <c r="EGS45" s="128"/>
      <c r="EGT45" s="129"/>
      <c r="EGU45" s="128"/>
      <c r="EGV45" s="129"/>
      <c r="EGW45" s="128"/>
      <c r="EGX45" s="129"/>
      <c r="EGY45" s="128"/>
      <c r="EGZ45" s="129"/>
      <c r="EHA45" s="128"/>
      <c r="EHB45" s="129"/>
      <c r="EHC45" s="128"/>
      <c r="EHD45" s="129"/>
      <c r="EHE45" s="128"/>
      <c r="EHF45" s="129"/>
      <c r="EHG45" s="128"/>
      <c r="EHH45" s="129"/>
      <c r="EHI45" s="128"/>
      <c r="EHJ45" s="129"/>
      <c r="EHK45" s="128"/>
      <c r="EHL45" s="129"/>
      <c r="EHM45" s="128"/>
      <c r="EHN45" s="129"/>
      <c r="EHO45" s="128"/>
      <c r="EHP45" s="129"/>
      <c r="EHQ45" s="128"/>
      <c r="EHR45" s="129"/>
      <c r="EHS45" s="128"/>
      <c r="EHT45" s="129"/>
      <c r="EHU45" s="128"/>
      <c r="EHV45" s="129"/>
      <c r="EHW45" s="128"/>
      <c r="EHX45" s="129"/>
      <c r="EHY45" s="128"/>
      <c r="EHZ45" s="129"/>
      <c r="EIA45" s="128"/>
      <c r="EIB45" s="129"/>
      <c r="EIC45" s="128"/>
      <c r="EID45" s="129"/>
      <c r="EIE45" s="128"/>
      <c r="EIF45" s="129"/>
      <c r="EIG45" s="128"/>
      <c r="EIH45" s="129"/>
      <c r="EII45" s="128"/>
      <c r="EIJ45" s="129"/>
      <c r="EIK45" s="128"/>
      <c r="EIL45" s="129"/>
      <c r="EIM45" s="128"/>
      <c r="EIN45" s="129"/>
      <c r="EIO45" s="128"/>
      <c r="EIP45" s="129"/>
      <c r="EIQ45" s="128"/>
      <c r="EIR45" s="129"/>
      <c r="EIS45" s="128"/>
      <c r="EIT45" s="129"/>
      <c r="EIU45" s="128"/>
      <c r="EIV45" s="129"/>
      <c r="EIW45" s="128"/>
      <c r="EIX45" s="129"/>
      <c r="EIY45" s="128"/>
      <c r="EIZ45" s="129"/>
      <c r="EJA45" s="128"/>
      <c r="EJB45" s="129"/>
      <c r="EJC45" s="128"/>
      <c r="EJD45" s="129"/>
      <c r="EJE45" s="128"/>
      <c r="EJF45" s="129"/>
      <c r="EJG45" s="128"/>
      <c r="EJH45" s="129"/>
      <c r="EJI45" s="128"/>
      <c r="EJJ45" s="129"/>
      <c r="EJK45" s="128"/>
      <c r="EJL45" s="129"/>
      <c r="EJM45" s="128"/>
      <c r="EJN45" s="129"/>
      <c r="EJO45" s="128"/>
      <c r="EJP45" s="129"/>
      <c r="EJQ45" s="128"/>
      <c r="EJR45" s="129"/>
      <c r="EJS45" s="128"/>
      <c r="EJT45" s="129"/>
      <c r="EJU45" s="128"/>
      <c r="EJV45" s="129"/>
      <c r="EJW45" s="128"/>
      <c r="EJX45" s="129"/>
      <c r="EJY45" s="128"/>
      <c r="EJZ45" s="129"/>
      <c r="EKA45" s="128"/>
      <c r="EKB45" s="129"/>
      <c r="EKC45" s="128"/>
      <c r="EKD45" s="129"/>
      <c r="EKE45" s="128"/>
      <c r="EKF45" s="129"/>
      <c r="EKG45" s="128"/>
      <c r="EKH45" s="129"/>
      <c r="EKI45" s="128"/>
      <c r="EKJ45" s="129"/>
      <c r="EKK45" s="128"/>
      <c r="EKL45" s="129"/>
      <c r="EKM45" s="128"/>
      <c r="EKN45" s="129"/>
      <c r="EKO45" s="128"/>
      <c r="EKP45" s="129"/>
      <c r="EKQ45" s="128"/>
      <c r="EKR45" s="129"/>
      <c r="EKS45" s="128"/>
      <c r="EKT45" s="129"/>
      <c r="EKU45" s="128"/>
      <c r="EKV45" s="129"/>
      <c r="EKW45" s="128"/>
      <c r="EKX45" s="129"/>
      <c r="EKY45" s="128"/>
      <c r="EKZ45" s="129"/>
      <c r="ELA45" s="128"/>
      <c r="ELB45" s="129"/>
      <c r="ELC45" s="128"/>
      <c r="ELD45" s="129"/>
      <c r="ELE45" s="128"/>
      <c r="ELF45" s="129"/>
      <c r="ELG45" s="128"/>
      <c r="ELH45" s="129"/>
      <c r="ELI45" s="128"/>
      <c r="ELJ45" s="129"/>
      <c r="ELK45" s="128"/>
      <c r="ELL45" s="129"/>
      <c r="ELM45" s="128"/>
      <c r="ELN45" s="129"/>
      <c r="ELO45" s="128"/>
      <c r="ELP45" s="129"/>
      <c r="ELQ45" s="128"/>
      <c r="ELR45" s="129"/>
      <c r="ELS45" s="128"/>
      <c r="ELT45" s="129"/>
      <c r="ELU45" s="128"/>
      <c r="ELV45" s="129"/>
      <c r="ELW45" s="128"/>
      <c r="ELX45" s="129"/>
      <c r="ELY45" s="128"/>
      <c r="ELZ45" s="129"/>
      <c r="EMA45" s="128"/>
      <c r="EMB45" s="129"/>
      <c r="EMC45" s="128"/>
      <c r="EMD45" s="129"/>
      <c r="EME45" s="128"/>
      <c r="EMF45" s="129"/>
      <c r="EMG45" s="128"/>
      <c r="EMH45" s="129"/>
      <c r="EMI45" s="128"/>
      <c r="EMJ45" s="129"/>
      <c r="EMK45" s="128"/>
      <c r="EML45" s="129"/>
      <c r="EMM45" s="128"/>
      <c r="EMN45" s="129"/>
      <c r="EMO45" s="128"/>
      <c r="EMP45" s="129"/>
      <c r="EMQ45" s="128"/>
      <c r="EMR45" s="129"/>
      <c r="EMS45" s="128"/>
      <c r="EMT45" s="129"/>
      <c r="EMU45" s="128"/>
      <c r="EMV45" s="129"/>
      <c r="EMW45" s="128"/>
      <c r="EMX45" s="129"/>
      <c r="EMY45" s="128"/>
      <c r="EMZ45" s="129"/>
      <c r="ENA45" s="128"/>
      <c r="ENB45" s="129"/>
      <c r="ENC45" s="128"/>
      <c r="END45" s="129"/>
      <c r="ENE45" s="128"/>
      <c r="ENF45" s="129"/>
      <c r="ENG45" s="128"/>
      <c r="ENH45" s="129"/>
      <c r="ENI45" s="128"/>
      <c r="ENJ45" s="129"/>
      <c r="ENK45" s="128"/>
      <c r="ENL45" s="129"/>
      <c r="ENM45" s="128"/>
      <c r="ENN45" s="129"/>
      <c r="ENO45" s="128"/>
      <c r="ENP45" s="129"/>
      <c r="ENQ45" s="128"/>
      <c r="ENR45" s="129"/>
      <c r="ENS45" s="128"/>
      <c r="ENT45" s="129"/>
      <c r="ENU45" s="128"/>
      <c r="ENV45" s="129"/>
      <c r="ENW45" s="128"/>
      <c r="ENX45" s="129"/>
      <c r="ENY45" s="128"/>
      <c r="ENZ45" s="129"/>
      <c r="EOA45" s="128"/>
      <c r="EOB45" s="129"/>
      <c r="EOC45" s="128"/>
      <c r="EOD45" s="129"/>
      <c r="EOE45" s="128"/>
      <c r="EOF45" s="129"/>
      <c r="EOG45" s="128"/>
      <c r="EOH45" s="129"/>
      <c r="EOI45" s="128"/>
      <c r="EOJ45" s="129"/>
      <c r="EOK45" s="128"/>
      <c r="EOL45" s="129"/>
      <c r="EOM45" s="128"/>
      <c r="EON45" s="129"/>
      <c r="EOO45" s="128"/>
      <c r="EOP45" s="129"/>
      <c r="EOQ45" s="128"/>
      <c r="EOR45" s="129"/>
      <c r="EOS45" s="128"/>
      <c r="EOT45" s="129"/>
      <c r="EOU45" s="128"/>
      <c r="EOV45" s="129"/>
      <c r="EOW45" s="128"/>
      <c r="EOX45" s="129"/>
      <c r="EOY45" s="128"/>
      <c r="EOZ45" s="129"/>
      <c r="EPA45" s="128"/>
      <c r="EPB45" s="129"/>
      <c r="EPC45" s="128"/>
      <c r="EPD45" s="129"/>
      <c r="EPE45" s="128"/>
      <c r="EPF45" s="129"/>
      <c r="EPG45" s="128"/>
      <c r="EPH45" s="129"/>
      <c r="EPI45" s="128"/>
      <c r="EPJ45" s="129"/>
      <c r="EPK45" s="128"/>
      <c r="EPL45" s="129"/>
      <c r="EPM45" s="128"/>
      <c r="EPN45" s="129"/>
      <c r="EPO45" s="128"/>
      <c r="EPP45" s="129"/>
      <c r="EPQ45" s="128"/>
      <c r="EPR45" s="129"/>
      <c r="EPS45" s="128"/>
      <c r="EPT45" s="129"/>
      <c r="EPU45" s="128"/>
      <c r="EPV45" s="129"/>
      <c r="EPW45" s="128"/>
      <c r="EPX45" s="129"/>
      <c r="EPY45" s="128"/>
      <c r="EPZ45" s="129"/>
      <c r="EQA45" s="128"/>
      <c r="EQB45" s="129"/>
      <c r="EQC45" s="128"/>
      <c r="EQD45" s="129"/>
      <c r="EQE45" s="128"/>
      <c r="EQF45" s="129"/>
      <c r="EQG45" s="128"/>
      <c r="EQH45" s="129"/>
      <c r="EQI45" s="128"/>
      <c r="EQJ45" s="129"/>
      <c r="EQK45" s="128"/>
      <c r="EQL45" s="129"/>
      <c r="EQM45" s="128"/>
      <c r="EQN45" s="129"/>
      <c r="EQO45" s="128"/>
      <c r="EQP45" s="129"/>
      <c r="EQQ45" s="128"/>
      <c r="EQR45" s="129"/>
      <c r="EQS45" s="128"/>
      <c r="EQT45" s="129"/>
      <c r="EQU45" s="128"/>
      <c r="EQV45" s="129"/>
      <c r="EQW45" s="128"/>
      <c r="EQX45" s="129"/>
      <c r="EQY45" s="128"/>
      <c r="EQZ45" s="129"/>
      <c r="ERA45" s="128"/>
      <c r="ERB45" s="129"/>
      <c r="ERC45" s="128"/>
      <c r="ERD45" s="129"/>
      <c r="ERE45" s="128"/>
      <c r="ERF45" s="129"/>
      <c r="ERG45" s="128"/>
      <c r="ERH45" s="129"/>
      <c r="ERI45" s="128"/>
      <c r="ERJ45" s="129"/>
      <c r="ERK45" s="128"/>
      <c r="ERL45" s="129"/>
      <c r="ERM45" s="128"/>
      <c r="ERN45" s="129"/>
      <c r="ERO45" s="128"/>
      <c r="ERP45" s="129"/>
      <c r="ERQ45" s="128"/>
      <c r="ERR45" s="129"/>
      <c r="ERS45" s="128"/>
      <c r="ERT45" s="129"/>
      <c r="ERU45" s="128"/>
      <c r="ERV45" s="129"/>
      <c r="ERW45" s="128"/>
      <c r="ERX45" s="129"/>
      <c r="ERY45" s="128"/>
      <c r="ERZ45" s="129"/>
      <c r="ESA45" s="128"/>
      <c r="ESB45" s="129"/>
      <c r="ESC45" s="128"/>
      <c r="ESD45" s="129"/>
      <c r="ESE45" s="128"/>
      <c r="ESF45" s="129"/>
      <c r="ESG45" s="128"/>
      <c r="ESH45" s="129"/>
      <c r="ESI45" s="128"/>
      <c r="ESJ45" s="129"/>
      <c r="ESK45" s="128"/>
      <c r="ESL45" s="129"/>
      <c r="ESM45" s="128"/>
      <c r="ESN45" s="129"/>
      <c r="ESO45" s="128"/>
      <c r="ESP45" s="129"/>
      <c r="ESQ45" s="128"/>
      <c r="ESR45" s="129"/>
      <c r="ESS45" s="128"/>
      <c r="EST45" s="129"/>
      <c r="ESU45" s="128"/>
      <c r="ESV45" s="129"/>
      <c r="ESW45" s="128"/>
      <c r="ESX45" s="129"/>
      <c r="ESY45" s="128"/>
      <c r="ESZ45" s="129"/>
      <c r="ETA45" s="128"/>
      <c r="ETB45" s="129"/>
      <c r="ETC45" s="128"/>
      <c r="ETD45" s="129"/>
      <c r="ETE45" s="128"/>
      <c r="ETF45" s="129"/>
      <c r="ETG45" s="128"/>
      <c r="ETH45" s="129"/>
      <c r="ETI45" s="128"/>
      <c r="ETJ45" s="129"/>
      <c r="ETK45" s="128"/>
      <c r="ETL45" s="129"/>
      <c r="ETM45" s="128"/>
      <c r="ETN45" s="129"/>
      <c r="ETO45" s="128"/>
      <c r="ETP45" s="129"/>
      <c r="ETQ45" s="128"/>
      <c r="ETR45" s="129"/>
      <c r="ETS45" s="128"/>
      <c r="ETT45" s="129"/>
      <c r="ETU45" s="128"/>
      <c r="ETV45" s="129"/>
      <c r="ETW45" s="128"/>
      <c r="ETX45" s="129"/>
      <c r="ETY45" s="128"/>
      <c r="ETZ45" s="129"/>
      <c r="EUA45" s="128"/>
      <c r="EUB45" s="129"/>
      <c r="EUC45" s="128"/>
      <c r="EUD45" s="129"/>
      <c r="EUE45" s="128"/>
      <c r="EUF45" s="129"/>
      <c r="EUG45" s="128"/>
      <c r="EUH45" s="129"/>
      <c r="EUI45" s="128"/>
      <c r="EUJ45" s="129"/>
      <c r="EUK45" s="128"/>
      <c r="EUL45" s="129"/>
      <c r="EUM45" s="128"/>
      <c r="EUN45" s="129"/>
      <c r="EUO45" s="128"/>
      <c r="EUP45" s="129"/>
      <c r="EUQ45" s="128"/>
      <c r="EUR45" s="129"/>
      <c r="EUS45" s="128"/>
      <c r="EUT45" s="129"/>
      <c r="EUU45" s="128"/>
      <c r="EUV45" s="129"/>
      <c r="EUW45" s="128"/>
      <c r="EUX45" s="129"/>
      <c r="EUY45" s="128"/>
      <c r="EUZ45" s="129"/>
      <c r="EVA45" s="128"/>
      <c r="EVB45" s="129"/>
      <c r="EVC45" s="128"/>
      <c r="EVD45" s="129"/>
      <c r="EVE45" s="128"/>
      <c r="EVF45" s="129"/>
      <c r="EVG45" s="128"/>
      <c r="EVH45" s="129"/>
      <c r="EVI45" s="128"/>
      <c r="EVJ45" s="129"/>
      <c r="EVK45" s="128"/>
      <c r="EVL45" s="129"/>
      <c r="EVM45" s="128"/>
      <c r="EVN45" s="129"/>
      <c r="EVO45" s="128"/>
      <c r="EVP45" s="129"/>
      <c r="EVQ45" s="128"/>
      <c r="EVR45" s="129"/>
      <c r="EVS45" s="128"/>
      <c r="EVT45" s="129"/>
      <c r="EVU45" s="128"/>
      <c r="EVV45" s="129"/>
      <c r="EVW45" s="128"/>
      <c r="EVX45" s="129"/>
      <c r="EVY45" s="128"/>
      <c r="EVZ45" s="129"/>
      <c r="EWA45" s="128"/>
      <c r="EWB45" s="129"/>
      <c r="EWC45" s="128"/>
      <c r="EWD45" s="129"/>
      <c r="EWE45" s="128"/>
      <c r="EWF45" s="129"/>
      <c r="EWG45" s="128"/>
      <c r="EWH45" s="129"/>
      <c r="EWI45" s="128"/>
      <c r="EWJ45" s="129"/>
      <c r="EWK45" s="128"/>
      <c r="EWL45" s="129"/>
      <c r="EWM45" s="128"/>
      <c r="EWN45" s="129"/>
      <c r="EWO45" s="128"/>
      <c r="EWP45" s="129"/>
      <c r="EWQ45" s="128"/>
      <c r="EWR45" s="129"/>
      <c r="EWS45" s="128"/>
      <c r="EWT45" s="129"/>
      <c r="EWU45" s="128"/>
      <c r="EWV45" s="129"/>
      <c r="EWW45" s="128"/>
      <c r="EWX45" s="129"/>
      <c r="EWY45" s="128"/>
      <c r="EWZ45" s="129"/>
      <c r="EXA45" s="128"/>
      <c r="EXB45" s="129"/>
      <c r="EXC45" s="128"/>
      <c r="EXD45" s="129"/>
      <c r="EXE45" s="128"/>
      <c r="EXF45" s="129"/>
      <c r="EXG45" s="128"/>
      <c r="EXH45" s="129"/>
      <c r="EXI45" s="128"/>
      <c r="EXJ45" s="129"/>
      <c r="EXK45" s="128"/>
      <c r="EXL45" s="129"/>
      <c r="EXM45" s="128"/>
      <c r="EXN45" s="129"/>
      <c r="EXO45" s="128"/>
      <c r="EXP45" s="129"/>
      <c r="EXQ45" s="128"/>
      <c r="EXR45" s="129"/>
      <c r="EXS45" s="128"/>
      <c r="EXT45" s="129"/>
      <c r="EXU45" s="128"/>
      <c r="EXV45" s="129"/>
      <c r="EXW45" s="128"/>
      <c r="EXX45" s="129"/>
      <c r="EXY45" s="128"/>
      <c r="EXZ45" s="129"/>
      <c r="EYA45" s="128"/>
      <c r="EYB45" s="129"/>
      <c r="EYC45" s="128"/>
      <c r="EYD45" s="129"/>
      <c r="EYE45" s="128"/>
      <c r="EYF45" s="129"/>
      <c r="EYG45" s="128"/>
      <c r="EYH45" s="129"/>
      <c r="EYI45" s="128"/>
      <c r="EYJ45" s="129"/>
      <c r="EYK45" s="128"/>
      <c r="EYL45" s="129"/>
      <c r="EYM45" s="128"/>
      <c r="EYN45" s="129"/>
      <c r="EYO45" s="128"/>
      <c r="EYP45" s="129"/>
      <c r="EYQ45" s="128"/>
      <c r="EYR45" s="129"/>
      <c r="EYS45" s="128"/>
      <c r="EYT45" s="129"/>
      <c r="EYU45" s="128"/>
      <c r="EYV45" s="129"/>
      <c r="EYW45" s="128"/>
      <c r="EYX45" s="129"/>
      <c r="EYY45" s="128"/>
      <c r="EYZ45" s="129"/>
      <c r="EZA45" s="128"/>
      <c r="EZB45" s="129"/>
      <c r="EZC45" s="128"/>
      <c r="EZD45" s="129"/>
      <c r="EZE45" s="128"/>
      <c r="EZF45" s="129"/>
      <c r="EZG45" s="128"/>
      <c r="EZH45" s="129"/>
      <c r="EZI45" s="128"/>
      <c r="EZJ45" s="129"/>
      <c r="EZK45" s="128"/>
      <c r="EZL45" s="129"/>
      <c r="EZM45" s="128"/>
      <c r="EZN45" s="129"/>
      <c r="EZO45" s="128"/>
      <c r="EZP45" s="129"/>
      <c r="EZQ45" s="128"/>
      <c r="EZR45" s="129"/>
      <c r="EZS45" s="128"/>
      <c r="EZT45" s="129"/>
      <c r="EZU45" s="128"/>
      <c r="EZV45" s="129"/>
      <c r="EZW45" s="128"/>
      <c r="EZX45" s="129"/>
      <c r="EZY45" s="128"/>
      <c r="EZZ45" s="129"/>
      <c r="FAA45" s="128"/>
      <c r="FAB45" s="129"/>
      <c r="FAC45" s="128"/>
      <c r="FAD45" s="129"/>
      <c r="FAE45" s="128"/>
      <c r="FAF45" s="129"/>
      <c r="FAG45" s="128"/>
      <c r="FAH45" s="129"/>
      <c r="FAI45" s="128"/>
      <c r="FAJ45" s="129"/>
      <c r="FAK45" s="128"/>
      <c r="FAL45" s="129"/>
      <c r="FAM45" s="128"/>
      <c r="FAN45" s="129"/>
      <c r="FAO45" s="128"/>
      <c r="FAP45" s="129"/>
      <c r="FAQ45" s="128"/>
      <c r="FAR45" s="129"/>
      <c r="FAS45" s="128"/>
      <c r="FAT45" s="129"/>
      <c r="FAU45" s="128"/>
      <c r="FAV45" s="129"/>
      <c r="FAW45" s="128"/>
      <c r="FAX45" s="129"/>
      <c r="FAY45" s="128"/>
      <c r="FAZ45" s="129"/>
      <c r="FBA45" s="128"/>
      <c r="FBB45" s="129"/>
      <c r="FBC45" s="128"/>
      <c r="FBD45" s="129"/>
      <c r="FBE45" s="128"/>
      <c r="FBF45" s="129"/>
      <c r="FBG45" s="128"/>
      <c r="FBH45" s="129"/>
      <c r="FBI45" s="128"/>
      <c r="FBJ45" s="129"/>
      <c r="FBK45" s="128"/>
      <c r="FBL45" s="129"/>
      <c r="FBM45" s="128"/>
      <c r="FBN45" s="129"/>
      <c r="FBO45" s="128"/>
      <c r="FBP45" s="129"/>
      <c r="FBQ45" s="128"/>
      <c r="FBR45" s="129"/>
      <c r="FBS45" s="128"/>
      <c r="FBT45" s="129"/>
      <c r="FBU45" s="128"/>
      <c r="FBV45" s="129"/>
      <c r="FBW45" s="128"/>
      <c r="FBX45" s="129"/>
      <c r="FBY45" s="128"/>
      <c r="FBZ45" s="129"/>
      <c r="FCA45" s="128"/>
      <c r="FCB45" s="129"/>
      <c r="FCC45" s="128"/>
      <c r="FCD45" s="129"/>
      <c r="FCE45" s="128"/>
      <c r="FCF45" s="129"/>
      <c r="FCG45" s="128"/>
      <c r="FCH45" s="129"/>
      <c r="FCI45" s="128"/>
      <c r="FCJ45" s="129"/>
      <c r="FCK45" s="128"/>
      <c r="FCL45" s="129"/>
      <c r="FCM45" s="128"/>
      <c r="FCN45" s="129"/>
      <c r="FCO45" s="128"/>
      <c r="FCP45" s="129"/>
      <c r="FCQ45" s="128"/>
      <c r="FCR45" s="129"/>
      <c r="FCS45" s="128"/>
      <c r="FCT45" s="129"/>
      <c r="FCU45" s="128"/>
      <c r="FCV45" s="129"/>
      <c r="FCW45" s="128"/>
      <c r="FCX45" s="129"/>
      <c r="FCY45" s="128"/>
      <c r="FCZ45" s="129"/>
      <c r="FDA45" s="128"/>
      <c r="FDB45" s="129"/>
      <c r="FDC45" s="128"/>
      <c r="FDD45" s="129"/>
      <c r="FDE45" s="128"/>
      <c r="FDF45" s="129"/>
      <c r="FDG45" s="128"/>
      <c r="FDH45" s="129"/>
      <c r="FDI45" s="128"/>
      <c r="FDJ45" s="129"/>
      <c r="FDK45" s="128"/>
      <c r="FDL45" s="129"/>
      <c r="FDM45" s="128"/>
      <c r="FDN45" s="129"/>
      <c r="FDO45" s="128"/>
      <c r="FDP45" s="129"/>
      <c r="FDQ45" s="128"/>
      <c r="FDR45" s="129"/>
      <c r="FDS45" s="128"/>
      <c r="FDT45" s="129"/>
      <c r="FDU45" s="128"/>
      <c r="FDV45" s="129"/>
      <c r="FDW45" s="128"/>
      <c r="FDX45" s="129"/>
      <c r="FDY45" s="128"/>
      <c r="FDZ45" s="129"/>
      <c r="FEA45" s="128"/>
      <c r="FEB45" s="129"/>
      <c r="FEC45" s="128"/>
      <c r="FED45" s="129"/>
      <c r="FEE45" s="128"/>
      <c r="FEF45" s="129"/>
      <c r="FEG45" s="128"/>
      <c r="FEH45" s="129"/>
      <c r="FEI45" s="128"/>
      <c r="FEJ45" s="129"/>
      <c r="FEK45" s="128"/>
      <c r="FEL45" s="129"/>
      <c r="FEM45" s="128"/>
      <c r="FEN45" s="129"/>
      <c r="FEO45" s="128"/>
      <c r="FEP45" s="129"/>
      <c r="FEQ45" s="128"/>
      <c r="FER45" s="129"/>
      <c r="FES45" s="128"/>
      <c r="FET45" s="129"/>
      <c r="FEU45" s="128"/>
      <c r="FEV45" s="129"/>
      <c r="FEW45" s="128"/>
      <c r="FEX45" s="129"/>
      <c r="FEY45" s="128"/>
      <c r="FEZ45" s="129"/>
      <c r="FFA45" s="128"/>
      <c r="FFB45" s="129"/>
      <c r="FFC45" s="128"/>
      <c r="FFD45" s="129"/>
      <c r="FFE45" s="128"/>
      <c r="FFF45" s="129"/>
      <c r="FFG45" s="128"/>
      <c r="FFH45" s="129"/>
      <c r="FFI45" s="128"/>
      <c r="FFJ45" s="129"/>
      <c r="FFK45" s="128"/>
      <c r="FFL45" s="129"/>
      <c r="FFM45" s="128"/>
      <c r="FFN45" s="129"/>
      <c r="FFO45" s="128"/>
      <c r="FFP45" s="129"/>
      <c r="FFQ45" s="128"/>
      <c r="FFR45" s="129"/>
      <c r="FFS45" s="128"/>
      <c r="FFT45" s="129"/>
      <c r="FFU45" s="128"/>
      <c r="FFV45" s="129"/>
      <c r="FFW45" s="128"/>
      <c r="FFX45" s="129"/>
      <c r="FFY45" s="128"/>
      <c r="FFZ45" s="129"/>
      <c r="FGA45" s="128"/>
      <c r="FGB45" s="129"/>
      <c r="FGC45" s="128"/>
      <c r="FGD45" s="129"/>
      <c r="FGE45" s="128"/>
      <c r="FGF45" s="129"/>
      <c r="FGG45" s="128"/>
      <c r="FGH45" s="129"/>
      <c r="FGI45" s="128"/>
      <c r="FGJ45" s="129"/>
      <c r="FGK45" s="128"/>
      <c r="FGL45" s="129"/>
      <c r="FGM45" s="128"/>
      <c r="FGN45" s="129"/>
      <c r="FGO45" s="128"/>
      <c r="FGP45" s="129"/>
      <c r="FGQ45" s="128"/>
      <c r="FGR45" s="129"/>
      <c r="FGS45" s="128"/>
      <c r="FGT45" s="129"/>
      <c r="FGU45" s="128"/>
      <c r="FGV45" s="129"/>
      <c r="FGW45" s="128"/>
      <c r="FGX45" s="129"/>
      <c r="FGY45" s="128"/>
      <c r="FGZ45" s="129"/>
      <c r="FHA45" s="128"/>
      <c r="FHB45" s="129"/>
      <c r="FHC45" s="128"/>
      <c r="FHD45" s="129"/>
      <c r="FHE45" s="128"/>
      <c r="FHF45" s="129"/>
      <c r="FHG45" s="128"/>
      <c r="FHH45" s="129"/>
      <c r="FHI45" s="128"/>
      <c r="FHJ45" s="129"/>
      <c r="FHK45" s="128"/>
      <c r="FHL45" s="129"/>
      <c r="FHM45" s="128"/>
      <c r="FHN45" s="129"/>
      <c r="FHO45" s="128"/>
      <c r="FHP45" s="129"/>
      <c r="FHQ45" s="128"/>
      <c r="FHR45" s="129"/>
      <c r="FHS45" s="128"/>
      <c r="FHT45" s="129"/>
      <c r="FHU45" s="128"/>
      <c r="FHV45" s="129"/>
      <c r="FHW45" s="128"/>
      <c r="FHX45" s="129"/>
      <c r="FHY45" s="128"/>
      <c r="FHZ45" s="129"/>
      <c r="FIA45" s="128"/>
      <c r="FIB45" s="129"/>
      <c r="FIC45" s="128"/>
      <c r="FID45" s="129"/>
      <c r="FIE45" s="128"/>
      <c r="FIF45" s="129"/>
      <c r="FIG45" s="128"/>
      <c r="FIH45" s="129"/>
      <c r="FII45" s="128"/>
      <c r="FIJ45" s="129"/>
      <c r="FIK45" s="128"/>
      <c r="FIL45" s="129"/>
      <c r="FIM45" s="128"/>
      <c r="FIN45" s="129"/>
      <c r="FIO45" s="128"/>
      <c r="FIP45" s="129"/>
      <c r="FIQ45" s="128"/>
      <c r="FIR45" s="129"/>
      <c r="FIS45" s="128"/>
      <c r="FIT45" s="129"/>
      <c r="FIU45" s="128"/>
      <c r="FIV45" s="129"/>
      <c r="FIW45" s="128"/>
      <c r="FIX45" s="129"/>
      <c r="FIY45" s="128"/>
      <c r="FIZ45" s="129"/>
      <c r="FJA45" s="128"/>
      <c r="FJB45" s="129"/>
      <c r="FJC45" s="128"/>
      <c r="FJD45" s="129"/>
      <c r="FJE45" s="128"/>
      <c r="FJF45" s="129"/>
      <c r="FJG45" s="128"/>
      <c r="FJH45" s="129"/>
      <c r="FJI45" s="128"/>
      <c r="FJJ45" s="129"/>
      <c r="FJK45" s="128"/>
      <c r="FJL45" s="129"/>
      <c r="FJM45" s="128"/>
      <c r="FJN45" s="129"/>
      <c r="FJO45" s="128"/>
      <c r="FJP45" s="129"/>
      <c r="FJQ45" s="128"/>
      <c r="FJR45" s="129"/>
      <c r="FJS45" s="128"/>
      <c r="FJT45" s="129"/>
      <c r="FJU45" s="128"/>
      <c r="FJV45" s="129"/>
      <c r="FJW45" s="128"/>
      <c r="FJX45" s="129"/>
      <c r="FJY45" s="128"/>
      <c r="FJZ45" s="129"/>
      <c r="FKA45" s="128"/>
      <c r="FKB45" s="129"/>
      <c r="FKC45" s="128"/>
      <c r="FKD45" s="129"/>
      <c r="FKE45" s="128"/>
      <c r="FKF45" s="129"/>
      <c r="FKG45" s="128"/>
      <c r="FKH45" s="129"/>
      <c r="FKI45" s="128"/>
      <c r="FKJ45" s="129"/>
      <c r="FKK45" s="128"/>
      <c r="FKL45" s="129"/>
      <c r="FKM45" s="128"/>
      <c r="FKN45" s="129"/>
      <c r="FKO45" s="128"/>
      <c r="FKP45" s="129"/>
      <c r="FKQ45" s="128"/>
      <c r="FKR45" s="129"/>
      <c r="FKS45" s="128"/>
      <c r="FKT45" s="129"/>
      <c r="FKU45" s="128"/>
      <c r="FKV45" s="129"/>
      <c r="FKW45" s="128"/>
      <c r="FKX45" s="129"/>
      <c r="FKY45" s="128"/>
      <c r="FKZ45" s="129"/>
      <c r="FLA45" s="128"/>
      <c r="FLB45" s="129"/>
      <c r="FLC45" s="128"/>
      <c r="FLD45" s="129"/>
      <c r="FLE45" s="128"/>
      <c r="FLF45" s="129"/>
      <c r="FLG45" s="128"/>
      <c r="FLH45" s="129"/>
      <c r="FLI45" s="128"/>
      <c r="FLJ45" s="129"/>
      <c r="FLK45" s="128"/>
      <c r="FLL45" s="129"/>
      <c r="FLM45" s="128"/>
      <c r="FLN45" s="129"/>
      <c r="FLO45" s="128"/>
      <c r="FLP45" s="129"/>
      <c r="FLQ45" s="128"/>
      <c r="FLR45" s="129"/>
      <c r="FLS45" s="128"/>
      <c r="FLT45" s="129"/>
      <c r="FLU45" s="128"/>
      <c r="FLV45" s="129"/>
      <c r="FLW45" s="128"/>
      <c r="FLX45" s="129"/>
      <c r="FLY45" s="128"/>
      <c r="FLZ45" s="129"/>
      <c r="FMA45" s="128"/>
      <c r="FMB45" s="129"/>
      <c r="FMC45" s="128"/>
      <c r="FMD45" s="129"/>
      <c r="FME45" s="128"/>
      <c r="FMF45" s="129"/>
      <c r="FMG45" s="128"/>
      <c r="FMH45" s="129"/>
      <c r="FMI45" s="128"/>
      <c r="FMJ45" s="129"/>
      <c r="FMK45" s="128"/>
      <c r="FML45" s="129"/>
      <c r="FMM45" s="128"/>
      <c r="FMN45" s="129"/>
      <c r="FMO45" s="128"/>
      <c r="FMP45" s="129"/>
      <c r="FMQ45" s="128"/>
      <c r="FMR45" s="129"/>
      <c r="FMS45" s="128"/>
      <c r="FMT45" s="129"/>
      <c r="FMU45" s="128"/>
      <c r="FMV45" s="129"/>
      <c r="FMW45" s="128"/>
      <c r="FMX45" s="129"/>
      <c r="FMY45" s="128"/>
      <c r="FMZ45" s="129"/>
      <c r="FNA45" s="128"/>
      <c r="FNB45" s="129"/>
      <c r="FNC45" s="128"/>
      <c r="FND45" s="129"/>
      <c r="FNE45" s="128"/>
      <c r="FNF45" s="129"/>
      <c r="FNG45" s="128"/>
      <c r="FNH45" s="129"/>
      <c r="FNI45" s="128"/>
      <c r="FNJ45" s="129"/>
      <c r="FNK45" s="128"/>
      <c r="FNL45" s="129"/>
      <c r="FNM45" s="128"/>
      <c r="FNN45" s="129"/>
      <c r="FNO45" s="128"/>
      <c r="FNP45" s="129"/>
      <c r="FNQ45" s="128"/>
      <c r="FNR45" s="129"/>
      <c r="FNS45" s="128"/>
      <c r="FNT45" s="129"/>
      <c r="FNU45" s="128"/>
      <c r="FNV45" s="129"/>
      <c r="FNW45" s="128"/>
      <c r="FNX45" s="129"/>
      <c r="FNY45" s="128"/>
      <c r="FNZ45" s="129"/>
      <c r="FOA45" s="128"/>
      <c r="FOB45" s="129"/>
      <c r="FOC45" s="128"/>
      <c r="FOD45" s="129"/>
      <c r="FOE45" s="128"/>
      <c r="FOF45" s="129"/>
      <c r="FOG45" s="128"/>
      <c r="FOH45" s="129"/>
      <c r="FOI45" s="128"/>
      <c r="FOJ45" s="129"/>
      <c r="FOK45" s="128"/>
      <c r="FOL45" s="129"/>
      <c r="FOM45" s="128"/>
      <c r="FON45" s="129"/>
      <c r="FOO45" s="128"/>
      <c r="FOP45" s="129"/>
      <c r="FOQ45" s="128"/>
      <c r="FOR45" s="129"/>
      <c r="FOS45" s="128"/>
      <c r="FOT45" s="129"/>
      <c r="FOU45" s="128"/>
      <c r="FOV45" s="129"/>
      <c r="FOW45" s="128"/>
      <c r="FOX45" s="129"/>
      <c r="FOY45" s="128"/>
      <c r="FOZ45" s="129"/>
      <c r="FPA45" s="128"/>
      <c r="FPB45" s="129"/>
      <c r="FPC45" s="128"/>
      <c r="FPD45" s="129"/>
      <c r="FPE45" s="128"/>
      <c r="FPF45" s="129"/>
      <c r="FPG45" s="128"/>
      <c r="FPH45" s="129"/>
      <c r="FPI45" s="128"/>
      <c r="FPJ45" s="129"/>
      <c r="FPK45" s="128"/>
      <c r="FPL45" s="129"/>
      <c r="FPM45" s="128"/>
      <c r="FPN45" s="129"/>
      <c r="FPO45" s="128"/>
      <c r="FPP45" s="129"/>
      <c r="FPQ45" s="128"/>
      <c r="FPR45" s="129"/>
      <c r="FPS45" s="128"/>
      <c r="FPT45" s="129"/>
      <c r="FPU45" s="128"/>
      <c r="FPV45" s="129"/>
      <c r="FPW45" s="128"/>
      <c r="FPX45" s="129"/>
      <c r="FPY45" s="128"/>
      <c r="FPZ45" s="129"/>
      <c r="FQA45" s="128"/>
      <c r="FQB45" s="129"/>
      <c r="FQC45" s="128"/>
      <c r="FQD45" s="129"/>
      <c r="FQE45" s="128"/>
      <c r="FQF45" s="129"/>
      <c r="FQG45" s="128"/>
      <c r="FQH45" s="129"/>
      <c r="FQI45" s="128"/>
      <c r="FQJ45" s="129"/>
      <c r="FQK45" s="128"/>
      <c r="FQL45" s="129"/>
      <c r="FQM45" s="128"/>
      <c r="FQN45" s="129"/>
      <c r="FQO45" s="128"/>
      <c r="FQP45" s="129"/>
      <c r="FQQ45" s="128"/>
      <c r="FQR45" s="129"/>
      <c r="FQS45" s="128"/>
      <c r="FQT45" s="129"/>
      <c r="FQU45" s="128"/>
      <c r="FQV45" s="129"/>
      <c r="FQW45" s="128"/>
      <c r="FQX45" s="129"/>
      <c r="FQY45" s="128"/>
      <c r="FQZ45" s="129"/>
      <c r="FRA45" s="128"/>
      <c r="FRB45" s="129"/>
      <c r="FRC45" s="128"/>
      <c r="FRD45" s="129"/>
      <c r="FRE45" s="128"/>
      <c r="FRF45" s="129"/>
      <c r="FRG45" s="128"/>
      <c r="FRH45" s="129"/>
      <c r="FRI45" s="128"/>
      <c r="FRJ45" s="129"/>
      <c r="FRK45" s="128"/>
      <c r="FRL45" s="129"/>
      <c r="FRM45" s="128"/>
      <c r="FRN45" s="129"/>
      <c r="FRO45" s="128"/>
      <c r="FRP45" s="129"/>
      <c r="FRQ45" s="128"/>
      <c r="FRR45" s="129"/>
      <c r="FRS45" s="128"/>
      <c r="FRT45" s="129"/>
      <c r="FRU45" s="128"/>
      <c r="FRV45" s="129"/>
      <c r="FRW45" s="128"/>
      <c r="FRX45" s="129"/>
      <c r="FRY45" s="128"/>
      <c r="FRZ45" s="129"/>
      <c r="FSA45" s="128"/>
      <c r="FSB45" s="129"/>
      <c r="FSC45" s="128"/>
      <c r="FSD45" s="129"/>
      <c r="FSE45" s="128"/>
      <c r="FSF45" s="129"/>
      <c r="FSG45" s="128"/>
      <c r="FSH45" s="129"/>
      <c r="FSI45" s="128"/>
      <c r="FSJ45" s="129"/>
      <c r="FSK45" s="128"/>
      <c r="FSL45" s="129"/>
      <c r="FSM45" s="128"/>
      <c r="FSN45" s="129"/>
      <c r="FSO45" s="128"/>
      <c r="FSP45" s="129"/>
      <c r="FSQ45" s="128"/>
      <c r="FSR45" s="129"/>
      <c r="FSS45" s="128"/>
      <c r="FST45" s="129"/>
      <c r="FSU45" s="128"/>
      <c r="FSV45" s="129"/>
      <c r="FSW45" s="128"/>
      <c r="FSX45" s="129"/>
      <c r="FSY45" s="128"/>
      <c r="FSZ45" s="129"/>
      <c r="FTA45" s="128"/>
      <c r="FTB45" s="129"/>
      <c r="FTC45" s="128"/>
      <c r="FTD45" s="129"/>
      <c r="FTE45" s="128"/>
      <c r="FTF45" s="129"/>
      <c r="FTG45" s="128"/>
      <c r="FTH45" s="129"/>
      <c r="FTI45" s="128"/>
      <c r="FTJ45" s="129"/>
      <c r="FTK45" s="128"/>
      <c r="FTL45" s="129"/>
      <c r="FTM45" s="128"/>
      <c r="FTN45" s="129"/>
      <c r="FTO45" s="128"/>
      <c r="FTP45" s="129"/>
      <c r="FTQ45" s="128"/>
      <c r="FTR45" s="129"/>
      <c r="FTS45" s="128"/>
      <c r="FTT45" s="129"/>
      <c r="FTU45" s="128"/>
      <c r="FTV45" s="129"/>
      <c r="FTW45" s="128"/>
      <c r="FTX45" s="129"/>
      <c r="FTY45" s="128"/>
      <c r="FTZ45" s="129"/>
      <c r="FUA45" s="128"/>
      <c r="FUB45" s="129"/>
      <c r="FUC45" s="128"/>
      <c r="FUD45" s="129"/>
      <c r="FUE45" s="128"/>
      <c r="FUF45" s="129"/>
      <c r="FUG45" s="128"/>
      <c r="FUH45" s="129"/>
      <c r="FUI45" s="128"/>
      <c r="FUJ45" s="129"/>
      <c r="FUK45" s="128"/>
      <c r="FUL45" s="129"/>
      <c r="FUM45" s="128"/>
      <c r="FUN45" s="129"/>
      <c r="FUO45" s="128"/>
      <c r="FUP45" s="129"/>
      <c r="FUQ45" s="128"/>
      <c r="FUR45" s="129"/>
      <c r="FUS45" s="128"/>
      <c r="FUT45" s="129"/>
      <c r="FUU45" s="128"/>
      <c r="FUV45" s="129"/>
      <c r="FUW45" s="128"/>
      <c r="FUX45" s="129"/>
      <c r="FUY45" s="128"/>
      <c r="FUZ45" s="129"/>
      <c r="FVA45" s="128"/>
      <c r="FVB45" s="129"/>
      <c r="FVC45" s="128"/>
      <c r="FVD45" s="129"/>
      <c r="FVE45" s="128"/>
      <c r="FVF45" s="129"/>
      <c r="FVG45" s="128"/>
      <c r="FVH45" s="129"/>
      <c r="FVI45" s="128"/>
      <c r="FVJ45" s="129"/>
      <c r="FVK45" s="128"/>
      <c r="FVL45" s="129"/>
      <c r="FVM45" s="128"/>
      <c r="FVN45" s="129"/>
      <c r="FVO45" s="128"/>
      <c r="FVP45" s="129"/>
      <c r="FVQ45" s="128"/>
      <c r="FVR45" s="129"/>
      <c r="FVS45" s="128"/>
      <c r="FVT45" s="129"/>
      <c r="FVU45" s="128"/>
      <c r="FVV45" s="129"/>
      <c r="FVW45" s="128"/>
      <c r="FVX45" s="129"/>
      <c r="FVY45" s="128"/>
      <c r="FVZ45" s="129"/>
      <c r="FWA45" s="128"/>
      <c r="FWB45" s="129"/>
      <c r="FWC45" s="128"/>
      <c r="FWD45" s="129"/>
      <c r="FWE45" s="128"/>
      <c r="FWF45" s="129"/>
      <c r="FWG45" s="128"/>
      <c r="FWH45" s="129"/>
      <c r="FWI45" s="128"/>
      <c r="FWJ45" s="129"/>
      <c r="FWK45" s="128"/>
      <c r="FWL45" s="129"/>
      <c r="FWM45" s="128"/>
      <c r="FWN45" s="129"/>
      <c r="FWO45" s="128"/>
      <c r="FWP45" s="129"/>
      <c r="FWQ45" s="128"/>
      <c r="FWR45" s="129"/>
      <c r="FWS45" s="128"/>
      <c r="FWT45" s="129"/>
      <c r="FWU45" s="128"/>
      <c r="FWV45" s="129"/>
      <c r="FWW45" s="128"/>
      <c r="FWX45" s="129"/>
      <c r="FWY45" s="128"/>
      <c r="FWZ45" s="129"/>
      <c r="FXA45" s="128"/>
      <c r="FXB45" s="129"/>
      <c r="FXC45" s="128"/>
      <c r="FXD45" s="129"/>
      <c r="FXE45" s="128"/>
      <c r="FXF45" s="129"/>
      <c r="FXG45" s="128"/>
      <c r="FXH45" s="129"/>
      <c r="FXI45" s="128"/>
      <c r="FXJ45" s="129"/>
      <c r="FXK45" s="128"/>
      <c r="FXL45" s="129"/>
      <c r="FXM45" s="128"/>
      <c r="FXN45" s="129"/>
      <c r="FXO45" s="128"/>
      <c r="FXP45" s="129"/>
      <c r="FXQ45" s="128"/>
      <c r="FXR45" s="129"/>
      <c r="FXS45" s="128"/>
      <c r="FXT45" s="129"/>
      <c r="FXU45" s="128"/>
      <c r="FXV45" s="129"/>
      <c r="FXW45" s="128"/>
      <c r="FXX45" s="129"/>
      <c r="FXY45" s="128"/>
      <c r="FXZ45" s="129"/>
      <c r="FYA45" s="128"/>
      <c r="FYB45" s="129"/>
      <c r="FYC45" s="128"/>
      <c r="FYD45" s="129"/>
      <c r="FYE45" s="128"/>
      <c r="FYF45" s="129"/>
      <c r="FYG45" s="128"/>
      <c r="FYH45" s="129"/>
      <c r="FYI45" s="128"/>
      <c r="FYJ45" s="129"/>
      <c r="FYK45" s="128"/>
      <c r="FYL45" s="129"/>
      <c r="FYM45" s="128"/>
      <c r="FYN45" s="129"/>
      <c r="FYO45" s="128"/>
      <c r="FYP45" s="129"/>
      <c r="FYQ45" s="128"/>
      <c r="FYR45" s="129"/>
      <c r="FYS45" s="128"/>
      <c r="FYT45" s="129"/>
      <c r="FYU45" s="128"/>
      <c r="FYV45" s="129"/>
      <c r="FYW45" s="128"/>
      <c r="FYX45" s="129"/>
      <c r="FYY45" s="128"/>
      <c r="FYZ45" s="129"/>
      <c r="FZA45" s="128"/>
      <c r="FZB45" s="129"/>
      <c r="FZC45" s="128"/>
      <c r="FZD45" s="129"/>
      <c r="FZE45" s="128"/>
      <c r="FZF45" s="129"/>
      <c r="FZG45" s="128"/>
      <c r="FZH45" s="129"/>
      <c r="FZI45" s="128"/>
      <c r="FZJ45" s="129"/>
      <c r="FZK45" s="128"/>
      <c r="FZL45" s="129"/>
      <c r="FZM45" s="128"/>
      <c r="FZN45" s="129"/>
      <c r="FZO45" s="128"/>
      <c r="FZP45" s="129"/>
      <c r="FZQ45" s="128"/>
      <c r="FZR45" s="129"/>
      <c r="FZS45" s="128"/>
      <c r="FZT45" s="129"/>
      <c r="FZU45" s="128"/>
      <c r="FZV45" s="129"/>
      <c r="FZW45" s="128"/>
      <c r="FZX45" s="129"/>
      <c r="FZY45" s="128"/>
      <c r="FZZ45" s="129"/>
      <c r="GAA45" s="128"/>
      <c r="GAB45" s="129"/>
      <c r="GAC45" s="128"/>
      <c r="GAD45" s="129"/>
      <c r="GAE45" s="128"/>
      <c r="GAF45" s="129"/>
      <c r="GAG45" s="128"/>
      <c r="GAH45" s="129"/>
      <c r="GAI45" s="128"/>
      <c r="GAJ45" s="129"/>
      <c r="GAK45" s="128"/>
      <c r="GAL45" s="129"/>
      <c r="GAM45" s="128"/>
      <c r="GAN45" s="129"/>
      <c r="GAO45" s="128"/>
      <c r="GAP45" s="129"/>
      <c r="GAQ45" s="128"/>
      <c r="GAR45" s="129"/>
      <c r="GAS45" s="128"/>
      <c r="GAT45" s="129"/>
      <c r="GAU45" s="128"/>
      <c r="GAV45" s="129"/>
      <c r="GAW45" s="128"/>
      <c r="GAX45" s="129"/>
      <c r="GAY45" s="128"/>
      <c r="GAZ45" s="129"/>
      <c r="GBA45" s="128"/>
      <c r="GBB45" s="129"/>
      <c r="GBC45" s="128"/>
      <c r="GBD45" s="129"/>
      <c r="GBE45" s="128"/>
      <c r="GBF45" s="129"/>
      <c r="GBG45" s="128"/>
      <c r="GBH45" s="129"/>
      <c r="GBI45" s="128"/>
      <c r="GBJ45" s="129"/>
      <c r="GBK45" s="128"/>
      <c r="GBL45" s="129"/>
      <c r="GBM45" s="128"/>
      <c r="GBN45" s="129"/>
      <c r="GBO45" s="128"/>
      <c r="GBP45" s="129"/>
      <c r="GBQ45" s="128"/>
      <c r="GBR45" s="129"/>
      <c r="GBS45" s="128"/>
      <c r="GBT45" s="129"/>
      <c r="GBU45" s="128"/>
      <c r="GBV45" s="129"/>
      <c r="GBW45" s="128"/>
      <c r="GBX45" s="129"/>
      <c r="GBY45" s="128"/>
      <c r="GBZ45" s="129"/>
      <c r="GCA45" s="128"/>
      <c r="GCB45" s="129"/>
      <c r="GCC45" s="128"/>
      <c r="GCD45" s="129"/>
      <c r="GCE45" s="128"/>
      <c r="GCF45" s="129"/>
      <c r="GCG45" s="128"/>
      <c r="GCH45" s="129"/>
      <c r="GCI45" s="128"/>
      <c r="GCJ45" s="129"/>
      <c r="GCK45" s="128"/>
      <c r="GCL45" s="129"/>
      <c r="GCM45" s="128"/>
      <c r="GCN45" s="129"/>
      <c r="GCO45" s="128"/>
      <c r="GCP45" s="129"/>
      <c r="GCQ45" s="128"/>
      <c r="GCR45" s="129"/>
      <c r="GCS45" s="128"/>
      <c r="GCT45" s="129"/>
      <c r="GCU45" s="128"/>
      <c r="GCV45" s="129"/>
      <c r="GCW45" s="128"/>
      <c r="GCX45" s="129"/>
      <c r="GCY45" s="128"/>
      <c r="GCZ45" s="129"/>
      <c r="GDA45" s="128"/>
      <c r="GDB45" s="129"/>
      <c r="GDC45" s="128"/>
      <c r="GDD45" s="129"/>
      <c r="GDE45" s="128"/>
      <c r="GDF45" s="129"/>
      <c r="GDG45" s="128"/>
      <c r="GDH45" s="129"/>
      <c r="GDI45" s="128"/>
      <c r="GDJ45" s="129"/>
      <c r="GDK45" s="128"/>
      <c r="GDL45" s="129"/>
      <c r="GDM45" s="128"/>
      <c r="GDN45" s="129"/>
      <c r="GDO45" s="128"/>
      <c r="GDP45" s="129"/>
      <c r="GDQ45" s="128"/>
      <c r="GDR45" s="129"/>
      <c r="GDS45" s="128"/>
      <c r="GDT45" s="129"/>
      <c r="GDU45" s="128"/>
      <c r="GDV45" s="129"/>
      <c r="GDW45" s="128"/>
      <c r="GDX45" s="129"/>
      <c r="GDY45" s="128"/>
      <c r="GDZ45" s="129"/>
      <c r="GEA45" s="128"/>
      <c r="GEB45" s="129"/>
      <c r="GEC45" s="128"/>
      <c r="GED45" s="129"/>
      <c r="GEE45" s="128"/>
      <c r="GEF45" s="129"/>
      <c r="GEG45" s="128"/>
      <c r="GEH45" s="129"/>
      <c r="GEI45" s="128"/>
      <c r="GEJ45" s="129"/>
      <c r="GEK45" s="128"/>
      <c r="GEL45" s="129"/>
      <c r="GEM45" s="128"/>
      <c r="GEN45" s="129"/>
      <c r="GEO45" s="128"/>
      <c r="GEP45" s="129"/>
      <c r="GEQ45" s="128"/>
      <c r="GER45" s="129"/>
      <c r="GES45" s="128"/>
      <c r="GET45" s="129"/>
      <c r="GEU45" s="128"/>
      <c r="GEV45" s="129"/>
      <c r="GEW45" s="128"/>
      <c r="GEX45" s="129"/>
      <c r="GEY45" s="128"/>
      <c r="GEZ45" s="129"/>
      <c r="GFA45" s="128"/>
      <c r="GFB45" s="129"/>
      <c r="GFC45" s="128"/>
      <c r="GFD45" s="129"/>
      <c r="GFE45" s="128"/>
      <c r="GFF45" s="129"/>
      <c r="GFG45" s="128"/>
      <c r="GFH45" s="129"/>
      <c r="GFI45" s="128"/>
      <c r="GFJ45" s="129"/>
      <c r="GFK45" s="128"/>
      <c r="GFL45" s="129"/>
      <c r="GFM45" s="128"/>
      <c r="GFN45" s="129"/>
      <c r="GFO45" s="128"/>
      <c r="GFP45" s="129"/>
      <c r="GFQ45" s="128"/>
      <c r="GFR45" s="129"/>
      <c r="GFS45" s="128"/>
      <c r="GFT45" s="129"/>
      <c r="GFU45" s="128"/>
      <c r="GFV45" s="129"/>
      <c r="GFW45" s="128"/>
      <c r="GFX45" s="129"/>
      <c r="GFY45" s="128"/>
      <c r="GFZ45" s="129"/>
      <c r="GGA45" s="128"/>
      <c r="GGB45" s="129"/>
      <c r="GGC45" s="128"/>
      <c r="GGD45" s="129"/>
      <c r="GGE45" s="128"/>
      <c r="GGF45" s="129"/>
      <c r="GGG45" s="128"/>
      <c r="GGH45" s="129"/>
      <c r="GGI45" s="128"/>
      <c r="GGJ45" s="129"/>
      <c r="GGK45" s="128"/>
      <c r="GGL45" s="129"/>
      <c r="GGM45" s="128"/>
      <c r="GGN45" s="129"/>
      <c r="GGO45" s="128"/>
      <c r="GGP45" s="129"/>
      <c r="GGQ45" s="128"/>
      <c r="GGR45" s="129"/>
      <c r="GGS45" s="128"/>
      <c r="GGT45" s="129"/>
      <c r="GGU45" s="128"/>
      <c r="GGV45" s="129"/>
      <c r="GGW45" s="128"/>
      <c r="GGX45" s="129"/>
      <c r="GGY45" s="128"/>
      <c r="GGZ45" s="129"/>
      <c r="GHA45" s="128"/>
      <c r="GHB45" s="129"/>
      <c r="GHC45" s="128"/>
      <c r="GHD45" s="129"/>
      <c r="GHE45" s="128"/>
      <c r="GHF45" s="129"/>
      <c r="GHG45" s="128"/>
      <c r="GHH45" s="129"/>
      <c r="GHI45" s="128"/>
      <c r="GHJ45" s="129"/>
      <c r="GHK45" s="128"/>
      <c r="GHL45" s="129"/>
      <c r="GHM45" s="128"/>
      <c r="GHN45" s="129"/>
      <c r="GHO45" s="128"/>
      <c r="GHP45" s="129"/>
      <c r="GHQ45" s="128"/>
      <c r="GHR45" s="129"/>
      <c r="GHS45" s="128"/>
      <c r="GHT45" s="129"/>
      <c r="GHU45" s="128"/>
      <c r="GHV45" s="129"/>
      <c r="GHW45" s="128"/>
      <c r="GHX45" s="129"/>
      <c r="GHY45" s="128"/>
      <c r="GHZ45" s="129"/>
      <c r="GIA45" s="128"/>
      <c r="GIB45" s="129"/>
      <c r="GIC45" s="128"/>
      <c r="GID45" s="129"/>
      <c r="GIE45" s="128"/>
      <c r="GIF45" s="129"/>
      <c r="GIG45" s="128"/>
      <c r="GIH45" s="129"/>
      <c r="GII45" s="128"/>
      <c r="GIJ45" s="129"/>
      <c r="GIK45" s="128"/>
      <c r="GIL45" s="129"/>
      <c r="GIM45" s="128"/>
      <c r="GIN45" s="129"/>
      <c r="GIO45" s="128"/>
      <c r="GIP45" s="129"/>
      <c r="GIQ45" s="128"/>
      <c r="GIR45" s="129"/>
      <c r="GIS45" s="128"/>
      <c r="GIT45" s="129"/>
      <c r="GIU45" s="128"/>
      <c r="GIV45" s="129"/>
      <c r="GIW45" s="128"/>
      <c r="GIX45" s="129"/>
      <c r="GIY45" s="128"/>
      <c r="GIZ45" s="129"/>
      <c r="GJA45" s="128"/>
      <c r="GJB45" s="129"/>
      <c r="GJC45" s="128"/>
      <c r="GJD45" s="129"/>
      <c r="GJE45" s="128"/>
      <c r="GJF45" s="129"/>
      <c r="GJG45" s="128"/>
      <c r="GJH45" s="129"/>
      <c r="GJI45" s="128"/>
      <c r="GJJ45" s="129"/>
      <c r="GJK45" s="128"/>
      <c r="GJL45" s="129"/>
      <c r="GJM45" s="128"/>
      <c r="GJN45" s="129"/>
      <c r="GJO45" s="128"/>
      <c r="GJP45" s="129"/>
      <c r="GJQ45" s="128"/>
      <c r="GJR45" s="129"/>
      <c r="GJS45" s="128"/>
      <c r="GJT45" s="129"/>
      <c r="GJU45" s="128"/>
      <c r="GJV45" s="129"/>
      <c r="GJW45" s="128"/>
      <c r="GJX45" s="129"/>
      <c r="GJY45" s="128"/>
      <c r="GJZ45" s="129"/>
      <c r="GKA45" s="128"/>
      <c r="GKB45" s="129"/>
      <c r="GKC45" s="128"/>
      <c r="GKD45" s="129"/>
      <c r="GKE45" s="128"/>
      <c r="GKF45" s="129"/>
      <c r="GKG45" s="128"/>
      <c r="GKH45" s="129"/>
      <c r="GKI45" s="128"/>
      <c r="GKJ45" s="129"/>
      <c r="GKK45" s="128"/>
      <c r="GKL45" s="129"/>
      <c r="GKM45" s="128"/>
      <c r="GKN45" s="129"/>
      <c r="GKO45" s="128"/>
      <c r="GKP45" s="129"/>
      <c r="GKQ45" s="128"/>
      <c r="GKR45" s="129"/>
      <c r="GKS45" s="128"/>
      <c r="GKT45" s="129"/>
      <c r="GKU45" s="128"/>
      <c r="GKV45" s="129"/>
      <c r="GKW45" s="128"/>
      <c r="GKX45" s="129"/>
      <c r="GKY45" s="128"/>
      <c r="GKZ45" s="129"/>
      <c r="GLA45" s="128"/>
      <c r="GLB45" s="129"/>
      <c r="GLC45" s="128"/>
      <c r="GLD45" s="129"/>
      <c r="GLE45" s="128"/>
      <c r="GLF45" s="129"/>
      <c r="GLG45" s="128"/>
      <c r="GLH45" s="129"/>
      <c r="GLI45" s="128"/>
      <c r="GLJ45" s="129"/>
      <c r="GLK45" s="128"/>
      <c r="GLL45" s="129"/>
      <c r="GLM45" s="128"/>
      <c r="GLN45" s="129"/>
      <c r="GLO45" s="128"/>
      <c r="GLP45" s="129"/>
      <c r="GLQ45" s="128"/>
      <c r="GLR45" s="129"/>
      <c r="GLS45" s="128"/>
      <c r="GLT45" s="129"/>
      <c r="GLU45" s="128"/>
      <c r="GLV45" s="129"/>
      <c r="GLW45" s="128"/>
      <c r="GLX45" s="129"/>
      <c r="GLY45" s="128"/>
      <c r="GLZ45" s="129"/>
      <c r="GMA45" s="128"/>
      <c r="GMB45" s="129"/>
      <c r="GMC45" s="128"/>
      <c r="GMD45" s="129"/>
      <c r="GME45" s="128"/>
      <c r="GMF45" s="129"/>
      <c r="GMG45" s="128"/>
      <c r="GMH45" s="129"/>
      <c r="GMI45" s="128"/>
      <c r="GMJ45" s="129"/>
      <c r="GMK45" s="128"/>
      <c r="GML45" s="129"/>
      <c r="GMM45" s="128"/>
      <c r="GMN45" s="129"/>
      <c r="GMO45" s="128"/>
      <c r="GMP45" s="129"/>
      <c r="GMQ45" s="128"/>
      <c r="GMR45" s="129"/>
      <c r="GMS45" s="128"/>
      <c r="GMT45" s="129"/>
      <c r="GMU45" s="128"/>
      <c r="GMV45" s="129"/>
      <c r="GMW45" s="128"/>
      <c r="GMX45" s="129"/>
      <c r="GMY45" s="128"/>
      <c r="GMZ45" s="129"/>
      <c r="GNA45" s="128"/>
      <c r="GNB45" s="129"/>
      <c r="GNC45" s="128"/>
      <c r="GND45" s="129"/>
      <c r="GNE45" s="128"/>
      <c r="GNF45" s="129"/>
      <c r="GNG45" s="128"/>
      <c r="GNH45" s="129"/>
      <c r="GNI45" s="128"/>
      <c r="GNJ45" s="129"/>
      <c r="GNK45" s="128"/>
      <c r="GNL45" s="129"/>
      <c r="GNM45" s="128"/>
      <c r="GNN45" s="129"/>
      <c r="GNO45" s="128"/>
      <c r="GNP45" s="129"/>
      <c r="GNQ45" s="128"/>
      <c r="GNR45" s="129"/>
      <c r="GNS45" s="128"/>
      <c r="GNT45" s="129"/>
      <c r="GNU45" s="128"/>
      <c r="GNV45" s="129"/>
      <c r="GNW45" s="128"/>
      <c r="GNX45" s="129"/>
      <c r="GNY45" s="128"/>
      <c r="GNZ45" s="129"/>
      <c r="GOA45" s="128"/>
      <c r="GOB45" s="129"/>
      <c r="GOC45" s="128"/>
      <c r="GOD45" s="129"/>
      <c r="GOE45" s="128"/>
      <c r="GOF45" s="129"/>
      <c r="GOG45" s="128"/>
      <c r="GOH45" s="129"/>
      <c r="GOI45" s="128"/>
      <c r="GOJ45" s="129"/>
      <c r="GOK45" s="128"/>
      <c r="GOL45" s="129"/>
      <c r="GOM45" s="128"/>
      <c r="GON45" s="129"/>
      <c r="GOO45" s="128"/>
      <c r="GOP45" s="129"/>
      <c r="GOQ45" s="128"/>
      <c r="GOR45" s="129"/>
      <c r="GOS45" s="128"/>
      <c r="GOT45" s="129"/>
      <c r="GOU45" s="128"/>
      <c r="GOV45" s="129"/>
      <c r="GOW45" s="128"/>
      <c r="GOX45" s="129"/>
      <c r="GOY45" s="128"/>
      <c r="GOZ45" s="129"/>
      <c r="GPA45" s="128"/>
      <c r="GPB45" s="129"/>
      <c r="GPC45" s="128"/>
      <c r="GPD45" s="129"/>
      <c r="GPE45" s="128"/>
      <c r="GPF45" s="129"/>
      <c r="GPG45" s="128"/>
      <c r="GPH45" s="129"/>
      <c r="GPI45" s="128"/>
      <c r="GPJ45" s="129"/>
      <c r="GPK45" s="128"/>
      <c r="GPL45" s="129"/>
      <c r="GPM45" s="128"/>
      <c r="GPN45" s="129"/>
      <c r="GPO45" s="128"/>
      <c r="GPP45" s="129"/>
      <c r="GPQ45" s="128"/>
      <c r="GPR45" s="129"/>
      <c r="GPS45" s="128"/>
      <c r="GPT45" s="129"/>
      <c r="GPU45" s="128"/>
      <c r="GPV45" s="129"/>
      <c r="GPW45" s="128"/>
      <c r="GPX45" s="129"/>
      <c r="GPY45" s="128"/>
      <c r="GPZ45" s="129"/>
      <c r="GQA45" s="128"/>
      <c r="GQB45" s="129"/>
      <c r="GQC45" s="128"/>
      <c r="GQD45" s="129"/>
      <c r="GQE45" s="128"/>
      <c r="GQF45" s="129"/>
      <c r="GQG45" s="128"/>
      <c r="GQH45" s="129"/>
      <c r="GQI45" s="128"/>
      <c r="GQJ45" s="129"/>
      <c r="GQK45" s="128"/>
      <c r="GQL45" s="129"/>
      <c r="GQM45" s="128"/>
      <c r="GQN45" s="129"/>
      <c r="GQO45" s="128"/>
      <c r="GQP45" s="129"/>
      <c r="GQQ45" s="128"/>
      <c r="GQR45" s="129"/>
      <c r="GQS45" s="128"/>
      <c r="GQT45" s="129"/>
      <c r="GQU45" s="128"/>
      <c r="GQV45" s="129"/>
      <c r="GQW45" s="128"/>
      <c r="GQX45" s="129"/>
      <c r="GQY45" s="128"/>
      <c r="GQZ45" s="129"/>
      <c r="GRA45" s="128"/>
      <c r="GRB45" s="129"/>
      <c r="GRC45" s="128"/>
      <c r="GRD45" s="129"/>
      <c r="GRE45" s="128"/>
      <c r="GRF45" s="129"/>
      <c r="GRG45" s="128"/>
      <c r="GRH45" s="129"/>
      <c r="GRI45" s="128"/>
      <c r="GRJ45" s="129"/>
      <c r="GRK45" s="128"/>
      <c r="GRL45" s="129"/>
      <c r="GRM45" s="128"/>
      <c r="GRN45" s="129"/>
      <c r="GRO45" s="128"/>
      <c r="GRP45" s="129"/>
      <c r="GRQ45" s="128"/>
      <c r="GRR45" s="129"/>
      <c r="GRS45" s="128"/>
      <c r="GRT45" s="129"/>
      <c r="GRU45" s="128"/>
      <c r="GRV45" s="129"/>
      <c r="GRW45" s="128"/>
      <c r="GRX45" s="129"/>
      <c r="GRY45" s="128"/>
      <c r="GRZ45" s="129"/>
      <c r="GSA45" s="128"/>
      <c r="GSB45" s="129"/>
      <c r="GSC45" s="128"/>
      <c r="GSD45" s="129"/>
      <c r="GSE45" s="128"/>
      <c r="GSF45" s="129"/>
      <c r="GSG45" s="128"/>
      <c r="GSH45" s="129"/>
      <c r="GSI45" s="128"/>
      <c r="GSJ45" s="129"/>
      <c r="GSK45" s="128"/>
      <c r="GSL45" s="129"/>
      <c r="GSM45" s="128"/>
      <c r="GSN45" s="129"/>
      <c r="GSO45" s="128"/>
      <c r="GSP45" s="129"/>
      <c r="GSQ45" s="128"/>
      <c r="GSR45" s="129"/>
      <c r="GSS45" s="128"/>
      <c r="GST45" s="129"/>
      <c r="GSU45" s="128"/>
      <c r="GSV45" s="129"/>
      <c r="GSW45" s="128"/>
      <c r="GSX45" s="129"/>
      <c r="GSY45" s="128"/>
      <c r="GSZ45" s="129"/>
      <c r="GTA45" s="128"/>
      <c r="GTB45" s="129"/>
      <c r="GTC45" s="128"/>
      <c r="GTD45" s="129"/>
      <c r="GTE45" s="128"/>
      <c r="GTF45" s="129"/>
      <c r="GTG45" s="128"/>
      <c r="GTH45" s="129"/>
      <c r="GTI45" s="128"/>
      <c r="GTJ45" s="129"/>
      <c r="GTK45" s="128"/>
      <c r="GTL45" s="129"/>
      <c r="GTM45" s="128"/>
      <c r="GTN45" s="129"/>
      <c r="GTO45" s="128"/>
      <c r="GTP45" s="129"/>
      <c r="GTQ45" s="128"/>
      <c r="GTR45" s="129"/>
      <c r="GTS45" s="128"/>
      <c r="GTT45" s="129"/>
      <c r="GTU45" s="128"/>
      <c r="GTV45" s="129"/>
      <c r="GTW45" s="128"/>
      <c r="GTX45" s="129"/>
      <c r="GTY45" s="128"/>
      <c r="GTZ45" s="129"/>
      <c r="GUA45" s="128"/>
      <c r="GUB45" s="129"/>
      <c r="GUC45" s="128"/>
      <c r="GUD45" s="129"/>
      <c r="GUE45" s="128"/>
      <c r="GUF45" s="129"/>
      <c r="GUG45" s="128"/>
      <c r="GUH45" s="129"/>
      <c r="GUI45" s="128"/>
      <c r="GUJ45" s="129"/>
      <c r="GUK45" s="128"/>
      <c r="GUL45" s="129"/>
      <c r="GUM45" s="128"/>
      <c r="GUN45" s="129"/>
      <c r="GUO45" s="128"/>
      <c r="GUP45" s="129"/>
      <c r="GUQ45" s="128"/>
      <c r="GUR45" s="129"/>
      <c r="GUS45" s="128"/>
      <c r="GUT45" s="129"/>
      <c r="GUU45" s="128"/>
      <c r="GUV45" s="129"/>
      <c r="GUW45" s="128"/>
      <c r="GUX45" s="129"/>
      <c r="GUY45" s="128"/>
      <c r="GUZ45" s="129"/>
      <c r="GVA45" s="128"/>
      <c r="GVB45" s="129"/>
      <c r="GVC45" s="128"/>
      <c r="GVD45" s="129"/>
      <c r="GVE45" s="128"/>
      <c r="GVF45" s="129"/>
      <c r="GVG45" s="128"/>
      <c r="GVH45" s="129"/>
      <c r="GVI45" s="128"/>
      <c r="GVJ45" s="129"/>
      <c r="GVK45" s="128"/>
      <c r="GVL45" s="129"/>
      <c r="GVM45" s="128"/>
      <c r="GVN45" s="129"/>
      <c r="GVO45" s="128"/>
      <c r="GVP45" s="129"/>
      <c r="GVQ45" s="128"/>
      <c r="GVR45" s="129"/>
      <c r="GVS45" s="128"/>
      <c r="GVT45" s="129"/>
      <c r="GVU45" s="128"/>
      <c r="GVV45" s="129"/>
      <c r="GVW45" s="128"/>
      <c r="GVX45" s="129"/>
      <c r="GVY45" s="128"/>
      <c r="GVZ45" s="129"/>
      <c r="GWA45" s="128"/>
      <c r="GWB45" s="129"/>
      <c r="GWC45" s="128"/>
      <c r="GWD45" s="129"/>
      <c r="GWE45" s="128"/>
      <c r="GWF45" s="129"/>
      <c r="GWG45" s="128"/>
      <c r="GWH45" s="129"/>
      <c r="GWI45" s="128"/>
      <c r="GWJ45" s="129"/>
      <c r="GWK45" s="128"/>
      <c r="GWL45" s="129"/>
      <c r="GWM45" s="128"/>
      <c r="GWN45" s="129"/>
      <c r="GWO45" s="128"/>
      <c r="GWP45" s="129"/>
      <c r="GWQ45" s="128"/>
      <c r="GWR45" s="129"/>
      <c r="GWS45" s="128"/>
      <c r="GWT45" s="129"/>
      <c r="GWU45" s="128"/>
      <c r="GWV45" s="129"/>
      <c r="GWW45" s="128"/>
      <c r="GWX45" s="129"/>
      <c r="GWY45" s="128"/>
      <c r="GWZ45" s="129"/>
      <c r="GXA45" s="128"/>
      <c r="GXB45" s="129"/>
      <c r="GXC45" s="128"/>
      <c r="GXD45" s="129"/>
      <c r="GXE45" s="128"/>
      <c r="GXF45" s="129"/>
      <c r="GXG45" s="128"/>
      <c r="GXH45" s="129"/>
      <c r="GXI45" s="128"/>
      <c r="GXJ45" s="129"/>
      <c r="GXK45" s="128"/>
      <c r="GXL45" s="129"/>
      <c r="GXM45" s="128"/>
      <c r="GXN45" s="129"/>
      <c r="GXO45" s="128"/>
      <c r="GXP45" s="129"/>
      <c r="GXQ45" s="128"/>
      <c r="GXR45" s="129"/>
      <c r="GXS45" s="128"/>
      <c r="GXT45" s="129"/>
      <c r="GXU45" s="128"/>
      <c r="GXV45" s="129"/>
      <c r="GXW45" s="128"/>
      <c r="GXX45" s="129"/>
      <c r="GXY45" s="128"/>
      <c r="GXZ45" s="129"/>
      <c r="GYA45" s="128"/>
      <c r="GYB45" s="129"/>
      <c r="GYC45" s="128"/>
      <c r="GYD45" s="129"/>
      <c r="GYE45" s="128"/>
      <c r="GYF45" s="129"/>
      <c r="GYG45" s="128"/>
      <c r="GYH45" s="129"/>
      <c r="GYI45" s="128"/>
      <c r="GYJ45" s="129"/>
      <c r="GYK45" s="128"/>
      <c r="GYL45" s="129"/>
      <c r="GYM45" s="128"/>
      <c r="GYN45" s="129"/>
      <c r="GYO45" s="128"/>
      <c r="GYP45" s="129"/>
      <c r="GYQ45" s="128"/>
      <c r="GYR45" s="129"/>
      <c r="GYS45" s="128"/>
      <c r="GYT45" s="129"/>
      <c r="GYU45" s="128"/>
      <c r="GYV45" s="129"/>
      <c r="GYW45" s="128"/>
      <c r="GYX45" s="129"/>
      <c r="GYY45" s="128"/>
      <c r="GYZ45" s="129"/>
      <c r="GZA45" s="128"/>
      <c r="GZB45" s="129"/>
      <c r="GZC45" s="128"/>
      <c r="GZD45" s="129"/>
      <c r="GZE45" s="128"/>
      <c r="GZF45" s="129"/>
      <c r="GZG45" s="128"/>
      <c r="GZH45" s="129"/>
      <c r="GZI45" s="128"/>
      <c r="GZJ45" s="129"/>
      <c r="GZK45" s="128"/>
      <c r="GZL45" s="129"/>
      <c r="GZM45" s="128"/>
      <c r="GZN45" s="129"/>
      <c r="GZO45" s="128"/>
      <c r="GZP45" s="129"/>
      <c r="GZQ45" s="128"/>
      <c r="GZR45" s="129"/>
      <c r="GZS45" s="128"/>
      <c r="GZT45" s="129"/>
      <c r="GZU45" s="128"/>
      <c r="GZV45" s="129"/>
      <c r="GZW45" s="128"/>
      <c r="GZX45" s="129"/>
      <c r="GZY45" s="128"/>
      <c r="GZZ45" s="129"/>
      <c r="HAA45" s="128"/>
      <c r="HAB45" s="129"/>
      <c r="HAC45" s="128"/>
      <c r="HAD45" s="129"/>
      <c r="HAE45" s="128"/>
      <c r="HAF45" s="129"/>
      <c r="HAG45" s="128"/>
      <c r="HAH45" s="129"/>
      <c r="HAI45" s="128"/>
      <c r="HAJ45" s="129"/>
      <c r="HAK45" s="128"/>
      <c r="HAL45" s="129"/>
      <c r="HAM45" s="128"/>
      <c r="HAN45" s="129"/>
      <c r="HAO45" s="128"/>
      <c r="HAP45" s="129"/>
      <c r="HAQ45" s="128"/>
      <c r="HAR45" s="129"/>
      <c r="HAS45" s="128"/>
      <c r="HAT45" s="129"/>
      <c r="HAU45" s="128"/>
      <c r="HAV45" s="129"/>
      <c r="HAW45" s="128"/>
      <c r="HAX45" s="129"/>
      <c r="HAY45" s="128"/>
      <c r="HAZ45" s="129"/>
      <c r="HBA45" s="128"/>
      <c r="HBB45" s="129"/>
      <c r="HBC45" s="128"/>
      <c r="HBD45" s="129"/>
      <c r="HBE45" s="128"/>
      <c r="HBF45" s="129"/>
      <c r="HBG45" s="128"/>
      <c r="HBH45" s="129"/>
      <c r="HBI45" s="128"/>
      <c r="HBJ45" s="129"/>
      <c r="HBK45" s="128"/>
      <c r="HBL45" s="129"/>
      <c r="HBM45" s="128"/>
      <c r="HBN45" s="129"/>
      <c r="HBO45" s="128"/>
      <c r="HBP45" s="129"/>
      <c r="HBQ45" s="128"/>
      <c r="HBR45" s="129"/>
      <c r="HBS45" s="128"/>
      <c r="HBT45" s="129"/>
      <c r="HBU45" s="128"/>
      <c r="HBV45" s="129"/>
      <c r="HBW45" s="128"/>
      <c r="HBX45" s="129"/>
      <c r="HBY45" s="128"/>
      <c r="HBZ45" s="129"/>
      <c r="HCA45" s="128"/>
      <c r="HCB45" s="129"/>
      <c r="HCC45" s="128"/>
      <c r="HCD45" s="129"/>
      <c r="HCE45" s="128"/>
      <c r="HCF45" s="129"/>
      <c r="HCG45" s="128"/>
      <c r="HCH45" s="129"/>
      <c r="HCI45" s="128"/>
      <c r="HCJ45" s="129"/>
      <c r="HCK45" s="128"/>
      <c r="HCL45" s="129"/>
      <c r="HCM45" s="128"/>
      <c r="HCN45" s="129"/>
      <c r="HCO45" s="128"/>
      <c r="HCP45" s="129"/>
      <c r="HCQ45" s="128"/>
      <c r="HCR45" s="129"/>
      <c r="HCS45" s="128"/>
      <c r="HCT45" s="129"/>
      <c r="HCU45" s="128"/>
      <c r="HCV45" s="129"/>
      <c r="HCW45" s="128"/>
      <c r="HCX45" s="129"/>
      <c r="HCY45" s="128"/>
      <c r="HCZ45" s="129"/>
      <c r="HDA45" s="128"/>
      <c r="HDB45" s="129"/>
      <c r="HDC45" s="128"/>
      <c r="HDD45" s="129"/>
      <c r="HDE45" s="128"/>
      <c r="HDF45" s="129"/>
      <c r="HDG45" s="128"/>
      <c r="HDH45" s="129"/>
      <c r="HDI45" s="128"/>
      <c r="HDJ45" s="129"/>
      <c r="HDK45" s="128"/>
      <c r="HDL45" s="129"/>
      <c r="HDM45" s="128"/>
      <c r="HDN45" s="129"/>
      <c r="HDO45" s="128"/>
      <c r="HDP45" s="129"/>
      <c r="HDQ45" s="128"/>
      <c r="HDR45" s="129"/>
      <c r="HDS45" s="128"/>
      <c r="HDT45" s="129"/>
      <c r="HDU45" s="128"/>
      <c r="HDV45" s="129"/>
      <c r="HDW45" s="128"/>
      <c r="HDX45" s="129"/>
      <c r="HDY45" s="128"/>
      <c r="HDZ45" s="129"/>
      <c r="HEA45" s="128"/>
      <c r="HEB45" s="129"/>
      <c r="HEC45" s="128"/>
      <c r="HED45" s="129"/>
      <c r="HEE45" s="128"/>
      <c r="HEF45" s="129"/>
      <c r="HEG45" s="128"/>
      <c r="HEH45" s="129"/>
      <c r="HEI45" s="128"/>
      <c r="HEJ45" s="129"/>
      <c r="HEK45" s="128"/>
      <c r="HEL45" s="129"/>
      <c r="HEM45" s="128"/>
      <c r="HEN45" s="129"/>
      <c r="HEO45" s="128"/>
      <c r="HEP45" s="129"/>
      <c r="HEQ45" s="128"/>
      <c r="HER45" s="129"/>
      <c r="HES45" s="128"/>
      <c r="HET45" s="129"/>
      <c r="HEU45" s="128"/>
      <c r="HEV45" s="129"/>
      <c r="HEW45" s="128"/>
      <c r="HEX45" s="129"/>
      <c r="HEY45" s="128"/>
      <c r="HEZ45" s="129"/>
      <c r="HFA45" s="128"/>
      <c r="HFB45" s="129"/>
      <c r="HFC45" s="128"/>
      <c r="HFD45" s="129"/>
      <c r="HFE45" s="128"/>
      <c r="HFF45" s="129"/>
      <c r="HFG45" s="128"/>
      <c r="HFH45" s="129"/>
      <c r="HFI45" s="128"/>
      <c r="HFJ45" s="129"/>
      <c r="HFK45" s="128"/>
      <c r="HFL45" s="129"/>
      <c r="HFM45" s="128"/>
      <c r="HFN45" s="129"/>
      <c r="HFO45" s="128"/>
      <c r="HFP45" s="129"/>
      <c r="HFQ45" s="128"/>
      <c r="HFR45" s="129"/>
      <c r="HFS45" s="128"/>
      <c r="HFT45" s="129"/>
      <c r="HFU45" s="128"/>
      <c r="HFV45" s="129"/>
      <c r="HFW45" s="128"/>
      <c r="HFX45" s="129"/>
      <c r="HFY45" s="128"/>
      <c r="HFZ45" s="129"/>
      <c r="HGA45" s="128"/>
      <c r="HGB45" s="129"/>
      <c r="HGC45" s="128"/>
      <c r="HGD45" s="129"/>
      <c r="HGE45" s="128"/>
      <c r="HGF45" s="129"/>
      <c r="HGG45" s="128"/>
      <c r="HGH45" s="129"/>
      <c r="HGI45" s="128"/>
      <c r="HGJ45" s="129"/>
      <c r="HGK45" s="128"/>
      <c r="HGL45" s="129"/>
      <c r="HGM45" s="128"/>
      <c r="HGN45" s="129"/>
      <c r="HGO45" s="128"/>
      <c r="HGP45" s="129"/>
      <c r="HGQ45" s="128"/>
      <c r="HGR45" s="129"/>
      <c r="HGS45" s="128"/>
      <c r="HGT45" s="129"/>
      <c r="HGU45" s="128"/>
      <c r="HGV45" s="129"/>
      <c r="HGW45" s="128"/>
      <c r="HGX45" s="129"/>
      <c r="HGY45" s="128"/>
      <c r="HGZ45" s="129"/>
      <c r="HHA45" s="128"/>
      <c r="HHB45" s="129"/>
      <c r="HHC45" s="128"/>
      <c r="HHD45" s="129"/>
      <c r="HHE45" s="128"/>
      <c r="HHF45" s="129"/>
      <c r="HHG45" s="128"/>
      <c r="HHH45" s="129"/>
      <c r="HHI45" s="128"/>
      <c r="HHJ45" s="129"/>
      <c r="HHK45" s="128"/>
      <c r="HHL45" s="129"/>
      <c r="HHM45" s="128"/>
      <c r="HHN45" s="129"/>
      <c r="HHO45" s="128"/>
      <c r="HHP45" s="129"/>
      <c r="HHQ45" s="128"/>
      <c r="HHR45" s="129"/>
      <c r="HHS45" s="128"/>
      <c r="HHT45" s="129"/>
      <c r="HHU45" s="128"/>
      <c r="HHV45" s="129"/>
      <c r="HHW45" s="128"/>
      <c r="HHX45" s="129"/>
      <c r="HHY45" s="128"/>
      <c r="HHZ45" s="129"/>
      <c r="HIA45" s="128"/>
      <c r="HIB45" s="129"/>
      <c r="HIC45" s="128"/>
      <c r="HID45" s="129"/>
      <c r="HIE45" s="128"/>
      <c r="HIF45" s="129"/>
      <c r="HIG45" s="128"/>
      <c r="HIH45" s="129"/>
      <c r="HII45" s="128"/>
      <c r="HIJ45" s="129"/>
      <c r="HIK45" s="128"/>
      <c r="HIL45" s="129"/>
      <c r="HIM45" s="128"/>
      <c r="HIN45" s="129"/>
      <c r="HIO45" s="128"/>
      <c r="HIP45" s="129"/>
      <c r="HIQ45" s="128"/>
      <c r="HIR45" s="129"/>
      <c r="HIS45" s="128"/>
      <c r="HIT45" s="129"/>
      <c r="HIU45" s="128"/>
      <c r="HIV45" s="129"/>
      <c r="HIW45" s="128"/>
      <c r="HIX45" s="129"/>
      <c r="HIY45" s="128"/>
      <c r="HIZ45" s="129"/>
      <c r="HJA45" s="128"/>
      <c r="HJB45" s="129"/>
      <c r="HJC45" s="128"/>
      <c r="HJD45" s="129"/>
      <c r="HJE45" s="128"/>
      <c r="HJF45" s="129"/>
      <c r="HJG45" s="128"/>
      <c r="HJH45" s="129"/>
      <c r="HJI45" s="128"/>
      <c r="HJJ45" s="129"/>
      <c r="HJK45" s="128"/>
      <c r="HJL45" s="129"/>
      <c r="HJM45" s="128"/>
      <c r="HJN45" s="129"/>
      <c r="HJO45" s="128"/>
      <c r="HJP45" s="129"/>
      <c r="HJQ45" s="128"/>
      <c r="HJR45" s="129"/>
      <c r="HJS45" s="128"/>
      <c r="HJT45" s="129"/>
      <c r="HJU45" s="128"/>
      <c r="HJV45" s="129"/>
      <c r="HJW45" s="128"/>
      <c r="HJX45" s="129"/>
      <c r="HJY45" s="128"/>
      <c r="HJZ45" s="129"/>
      <c r="HKA45" s="128"/>
      <c r="HKB45" s="129"/>
      <c r="HKC45" s="128"/>
      <c r="HKD45" s="129"/>
      <c r="HKE45" s="128"/>
      <c r="HKF45" s="129"/>
      <c r="HKG45" s="128"/>
      <c r="HKH45" s="129"/>
      <c r="HKI45" s="128"/>
      <c r="HKJ45" s="129"/>
      <c r="HKK45" s="128"/>
      <c r="HKL45" s="129"/>
      <c r="HKM45" s="128"/>
      <c r="HKN45" s="129"/>
      <c r="HKO45" s="128"/>
      <c r="HKP45" s="129"/>
      <c r="HKQ45" s="128"/>
      <c r="HKR45" s="129"/>
      <c r="HKS45" s="128"/>
      <c r="HKT45" s="129"/>
      <c r="HKU45" s="128"/>
      <c r="HKV45" s="129"/>
      <c r="HKW45" s="128"/>
      <c r="HKX45" s="129"/>
      <c r="HKY45" s="128"/>
      <c r="HKZ45" s="129"/>
      <c r="HLA45" s="128"/>
      <c r="HLB45" s="129"/>
      <c r="HLC45" s="128"/>
      <c r="HLD45" s="129"/>
      <c r="HLE45" s="128"/>
      <c r="HLF45" s="129"/>
      <c r="HLG45" s="128"/>
      <c r="HLH45" s="129"/>
      <c r="HLI45" s="128"/>
      <c r="HLJ45" s="129"/>
      <c r="HLK45" s="128"/>
      <c r="HLL45" s="129"/>
      <c r="HLM45" s="128"/>
      <c r="HLN45" s="129"/>
      <c r="HLO45" s="128"/>
      <c r="HLP45" s="129"/>
      <c r="HLQ45" s="128"/>
      <c r="HLR45" s="129"/>
      <c r="HLS45" s="128"/>
      <c r="HLT45" s="129"/>
      <c r="HLU45" s="128"/>
      <c r="HLV45" s="129"/>
      <c r="HLW45" s="128"/>
      <c r="HLX45" s="129"/>
      <c r="HLY45" s="128"/>
      <c r="HLZ45" s="129"/>
      <c r="HMA45" s="128"/>
      <c r="HMB45" s="129"/>
      <c r="HMC45" s="128"/>
      <c r="HMD45" s="129"/>
      <c r="HME45" s="128"/>
      <c r="HMF45" s="129"/>
      <c r="HMG45" s="128"/>
      <c r="HMH45" s="129"/>
      <c r="HMI45" s="128"/>
      <c r="HMJ45" s="129"/>
      <c r="HMK45" s="128"/>
      <c r="HML45" s="129"/>
      <c r="HMM45" s="128"/>
      <c r="HMN45" s="129"/>
      <c r="HMO45" s="128"/>
      <c r="HMP45" s="129"/>
      <c r="HMQ45" s="128"/>
      <c r="HMR45" s="129"/>
      <c r="HMS45" s="128"/>
      <c r="HMT45" s="129"/>
      <c r="HMU45" s="128"/>
      <c r="HMV45" s="129"/>
      <c r="HMW45" s="128"/>
      <c r="HMX45" s="129"/>
      <c r="HMY45" s="128"/>
      <c r="HMZ45" s="129"/>
      <c r="HNA45" s="128"/>
      <c r="HNB45" s="129"/>
      <c r="HNC45" s="128"/>
      <c r="HND45" s="129"/>
      <c r="HNE45" s="128"/>
      <c r="HNF45" s="129"/>
      <c r="HNG45" s="128"/>
      <c r="HNH45" s="129"/>
      <c r="HNI45" s="128"/>
      <c r="HNJ45" s="129"/>
      <c r="HNK45" s="128"/>
      <c r="HNL45" s="129"/>
      <c r="HNM45" s="128"/>
      <c r="HNN45" s="129"/>
      <c r="HNO45" s="128"/>
      <c r="HNP45" s="129"/>
      <c r="HNQ45" s="128"/>
      <c r="HNR45" s="129"/>
      <c r="HNS45" s="128"/>
      <c r="HNT45" s="129"/>
      <c r="HNU45" s="128"/>
      <c r="HNV45" s="129"/>
      <c r="HNW45" s="128"/>
      <c r="HNX45" s="129"/>
      <c r="HNY45" s="128"/>
      <c r="HNZ45" s="129"/>
      <c r="HOA45" s="128"/>
      <c r="HOB45" s="129"/>
      <c r="HOC45" s="128"/>
      <c r="HOD45" s="129"/>
      <c r="HOE45" s="128"/>
      <c r="HOF45" s="129"/>
      <c r="HOG45" s="128"/>
      <c r="HOH45" s="129"/>
      <c r="HOI45" s="128"/>
      <c r="HOJ45" s="129"/>
      <c r="HOK45" s="128"/>
      <c r="HOL45" s="129"/>
      <c r="HOM45" s="128"/>
      <c r="HON45" s="129"/>
      <c r="HOO45" s="128"/>
      <c r="HOP45" s="129"/>
      <c r="HOQ45" s="128"/>
      <c r="HOR45" s="129"/>
      <c r="HOS45" s="128"/>
      <c r="HOT45" s="129"/>
      <c r="HOU45" s="128"/>
      <c r="HOV45" s="129"/>
      <c r="HOW45" s="128"/>
      <c r="HOX45" s="129"/>
      <c r="HOY45" s="128"/>
      <c r="HOZ45" s="129"/>
      <c r="HPA45" s="128"/>
      <c r="HPB45" s="129"/>
      <c r="HPC45" s="128"/>
      <c r="HPD45" s="129"/>
      <c r="HPE45" s="128"/>
      <c r="HPF45" s="129"/>
      <c r="HPG45" s="128"/>
      <c r="HPH45" s="129"/>
      <c r="HPI45" s="128"/>
      <c r="HPJ45" s="129"/>
      <c r="HPK45" s="128"/>
      <c r="HPL45" s="129"/>
      <c r="HPM45" s="128"/>
      <c r="HPN45" s="129"/>
      <c r="HPO45" s="128"/>
      <c r="HPP45" s="129"/>
      <c r="HPQ45" s="128"/>
      <c r="HPR45" s="129"/>
      <c r="HPS45" s="128"/>
      <c r="HPT45" s="129"/>
      <c r="HPU45" s="128"/>
      <c r="HPV45" s="129"/>
      <c r="HPW45" s="128"/>
      <c r="HPX45" s="129"/>
      <c r="HPY45" s="128"/>
      <c r="HPZ45" s="129"/>
      <c r="HQA45" s="128"/>
      <c r="HQB45" s="129"/>
      <c r="HQC45" s="128"/>
      <c r="HQD45" s="129"/>
      <c r="HQE45" s="128"/>
      <c r="HQF45" s="129"/>
      <c r="HQG45" s="128"/>
      <c r="HQH45" s="129"/>
      <c r="HQI45" s="128"/>
      <c r="HQJ45" s="129"/>
      <c r="HQK45" s="128"/>
      <c r="HQL45" s="129"/>
      <c r="HQM45" s="128"/>
      <c r="HQN45" s="129"/>
      <c r="HQO45" s="128"/>
      <c r="HQP45" s="129"/>
      <c r="HQQ45" s="128"/>
      <c r="HQR45" s="129"/>
      <c r="HQS45" s="128"/>
      <c r="HQT45" s="129"/>
      <c r="HQU45" s="128"/>
      <c r="HQV45" s="129"/>
      <c r="HQW45" s="128"/>
      <c r="HQX45" s="129"/>
      <c r="HQY45" s="128"/>
      <c r="HQZ45" s="129"/>
      <c r="HRA45" s="128"/>
      <c r="HRB45" s="129"/>
      <c r="HRC45" s="128"/>
      <c r="HRD45" s="129"/>
      <c r="HRE45" s="128"/>
      <c r="HRF45" s="129"/>
      <c r="HRG45" s="128"/>
      <c r="HRH45" s="129"/>
      <c r="HRI45" s="128"/>
      <c r="HRJ45" s="129"/>
      <c r="HRK45" s="128"/>
      <c r="HRL45" s="129"/>
      <c r="HRM45" s="128"/>
      <c r="HRN45" s="129"/>
      <c r="HRO45" s="128"/>
      <c r="HRP45" s="129"/>
      <c r="HRQ45" s="128"/>
      <c r="HRR45" s="129"/>
      <c r="HRS45" s="128"/>
      <c r="HRT45" s="129"/>
      <c r="HRU45" s="128"/>
      <c r="HRV45" s="129"/>
      <c r="HRW45" s="128"/>
      <c r="HRX45" s="129"/>
      <c r="HRY45" s="128"/>
      <c r="HRZ45" s="129"/>
      <c r="HSA45" s="128"/>
      <c r="HSB45" s="129"/>
      <c r="HSC45" s="128"/>
      <c r="HSD45" s="129"/>
      <c r="HSE45" s="128"/>
      <c r="HSF45" s="129"/>
      <c r="HSG45" s="128"/>
      <c r="HSH45" s="129"/>
      <c r="HSI45" s="128"/>
      <c r="HSJ45" s="129"/>
      <c r="HSK45" s="128"/>
      <c r="HSL45" s="129"/>
      <c r="HSM45" s="128"/>
      <c r="HSN45" s="129"/>
      <c r="HSO45" s="128"/>
      <c r="HSP45" s="129"/>
      <c r="HSQ45" s="128"/>
      <c r="HSR45" s="129"/>
      <c r="HSS45" s="128"/>
      <c r="HST45" s="129"/>
      <c r="HSU45" s="128"/>
      <c r="HSV45" s="129"/>
      <c r="HSW45" s="128"/>
      <c r="HSX45" s="129"/>
      <c r="HSY45" s="128"/>
      <c r="HSZ45" s="129"/>
      <c r="HTA45" s="128"/>
      <c r="HTB45" s="129"/>
      <c r="HTC45" s="128"/>
      <c r="HTD45" s="129"/>
      <c r="HTE45" s="128"/>
      <c r="HTF45" s="129"/>
      <c r="HTG45" s="128"/>
      <c r="HTH45" s="129"/>
      <c r="HTI45" s="128"/>
      <c r="HTJ45" s="129"/>
      <c r="HTK45" s="128"/>
      <c r="HTL45" s="129"/>
      <c r="HTM45" s="128"/>
      <c r="HTN45" s="129"/>
      <c r="HTO45" s="128"/>
      <c r="HTP45" s="129"/>
      <c r="HTQ45" s="128"/>
      <c r="HTR45" s="129"/>
      <c r="HTS45" s="128"/>
      <c r="HTT45" s="129"/>
      <c r="HTU45" s="128"/>
      <c r="HTV45" s="129"/>
      <c r="HTW45" s="128"/>
      <c r="HTX45" s="129"/>
      <c r="HTY45" s="128"/>
      <c r="HTZ45" s="129"/>
      <c r="HUA45" s="128"/>
      <c r="HUB45" s="129"/>
      <c r="HUC45" s="128"/>
      <c r="HUD45" s="129"/>
      <c r="HUE45" s="128"/>
      <c r="HUF45" s="129"/>
      <c r="HUG45" s="128"/>
      <c r="HUH45" s="129"/>
      <c r="HUI45" s="128"/>
      <c r="HUJ45" s="129"/>
      <c r="HUK45" s="128"/>
      <c r="HUL45" s="129"/>
      <c r="HUM45" s="128"/>
      <c r="HUN45" s="129"/>
      <c r="HUO45" s="128"/>
      <c r="HUP45" s="129"/>
      <c r="HUQ45" s="128"/>
      <c r="HUR45" s="129"/>
      <c r="HUS45" s="128"/>
      <c r="HUT45" s="129"/>
      <c r="HUU45" s="128"/>
      <c r="HUV45" s="129"/>
      <c r="HUW45" s="128"/>
      <c r="HUX45" s="129"/>
      <c r="HUY45" s="128"/>
      <c r="HUZ45" s="129"/>
      <c r="HVA45" s="128"/>
      <c r="HVB45" s="129"/>
      <c r="HVC45" s="128"/>
      <c r="HVD45" s="129"/>
      <c r="HVE45" s="128"/>
      <c r="HVF45" s="129"/>
      <c r="HVG45" s="128"/>
      <c r="HVH45" s="129"/>
      <c r="HVI45" s="128"/>
      <c r="HVJ45" s="129"/>
      <c r="HVK45" s="128"/>
      <c r="HVL45" s="129"/>
      <c r="HVM45" s="128"/>
      <c r="HVN45" s="129"/>
      <c r="HVO45" s="128"/>
      <c r="HVP45" s="129"/>
      <c r="HVQ45" s="128"/>
      <c r="HVR45" s="129"/>
      <c r="HVS45" s="128"/>
      <c r="HVT45" s="129"/>
      <c r="HVU45" s="128"/>
      <c r="HVV45" s="129"/>
      <c r="HVW45" s="128"/>
      <c r="HVX45" s="129"/>
      <c r="HVY45" s="128"/>
      <c r="HVZ45" s="129"/>
      <c r="HWA45" s="128"/>
      <c r="HWB45" s="129"/>
      <c r="HWC45" s="128"/>
      <c r="HWD45" s="129"/>
      <c r="HWE45" s="128"/>
      <c r="HWF45" s="129"/>
      <c r="HWG45" s="128"/>
      <c r="HWH45" s="129"/>
      <c r="HWI45" s="128"/>
      <c r="HWJ45" s="129"/>
      <c r="HWK45" s="128"/>
      <c r="HWL45" s="129"/>
      <c r="HWM45" s="128"/>
      <c r="HWN45" s="129"/>
      <c r="HWO45" s="128"/>
      <c r="HWP45" s="129"/>
      <c r="HWQ45" s="128"/>
      <c r="HWR45" s="129"/>
      <c r="HWS45" s="128"/>
      <c r="HWT45" s="129"/>
      <c r="HWU45" s="128"/>
      <c r="HWV45" s="129"/>
      <c r="HWW45" s="128"/>
      <c r="HWX45" s="129"/>
      <c r="HWY45" s="128"/>
      <c r="HWZ45" s="129"/>
      <c r="HXA45" s="128"/>
      <c r="HXB45" s="129"/>
      <c r="HXC45" s="128"/>
      <c r="HXD45" s="129"/>
      <c r="HXE45" s="128"/>
      <c r="HXF45" s="129"/>
      <c r="HXG45" s="128"/>
      <c r="HXH45" s="129"/>
      <c r="HXI45" s="128"/>
      <c r="HXJ45" s="129"/>
      <c r="HXK45" s="128"/>
      <c r="HXL45" s="129"/>
      <c r="HXM45" s="128"/>
      <c r="HXN45" s="129"/>
      <c r="HXO45" s="128"/>
      <c r="HXP45" s="129"/>
      <c r="HXQ45" s="128"/>
      <c r="HXR45" s="129"/>
      <c r="HXS45" s="128"/>
      <c r="HXT45" s="129"/>
      <c r="HXU45" s="128"/>
      <c r="HXV45" s="129"/>
      <c r="HXW45" s="128"/>
      <c r="HXX45" s="129"/>
      <c r="HXY45" s="128"/>
      <c r="HXZ45" s="129"/>
      <c r="HYA45" s="128"/>
      <c r="HYB45" s="129"/>
      <c r="HYC45" s="128"/>
      <c r="HYD45" s="129"/>
      <c r="HYE45" s="128"/>
      <c r="HYF45" s="129"/>
      <c r="HYG45" s="128"/>
      <c r="HYH45" s="129"/>
      <c r="HYI45" s="128"/>
      <c r="HYJ45" s="129"/>
      <c r="HYK45" s="128"/>
      <c r="HYL45" s="129"/>
      <c r="HYM45" s="128"/>
      <c r="HYN45" s="129"/>
      <c r="HYO45" s="128"/>
      <c r="HYP45" s="129"/>
      <c r="HYQ45" s="128"/>
      <c r="HYR45" s="129"/>
      <c r="HYS45" s="128"/>
      <c r="HYT45" s="129"/>
      <c r="HYU45" s="128"/>
      <c r="HYV45" s="129"/>
      <c r="HYW45" s="128"/>
      <c r="HYX45" s="129"/>
      <c r="HYY45" s="128"/>
      <c r="HYZ45" s="129"/>
      <c r="HZA45" s="128"/>
      <c r="HZB45" s="129"/>
      <c r="HZC45" s="128"/>
      <c r="HZD45" s="129"/>
      <c r="HZE45" s="128"/>
      <c r="HZF45" s="129"/>
      <c r="HZG45" s="128"/>
      <c r="HZH45" s="129"/>
      <c r="HZI45" s="128"/>
      <c r="HZJ45" s="129"/>
      <c r="HZK45" s="128"/>
      <c r="HZL45" s="129"/>
      <c r="HZM45" s="128"/>
      <c r="HZN45" s="129"/>
      <c r="HZO45" s="128"/>
      <c r="HZP45" s="129"/>
      <c r="HZQ45" s="128"/>
      <c r="HZR45" s="129"/>
      <c r="HZS45" s="128"/>
      <c r="HZT45" s="129"/>
      <c r="HZU45" s="128"/>
      <c r="HZV45" s="129"/>
      <c r="HZW45" s="128"/>
      <c r="HZX45" s="129"/>
      <c r="HZY45" s="128"/>
      <c r="HZZ45" s="129"/>
      <c r="IAA45" s="128"/>
      <c r="IAB45" s="129"/>
      <c r="IAC45" s="128"/>
      <c r="IAD45" s="129"/>
      <c r="IAE45" s="128"/>
      <c r="IAF45" s="129"/>
      <c r="IAG45" s="128"/>
      <c r="IAH45" s="129"/>
      <c r="IAI45" s="128"/>
      <c r="IAJ45" s="129"/>
      <c r="IAK45" s="128"/>
      <c r="IAL45" s="129"/>
      <c r="IAM45" s="128"/>
      <c r="IAN45" s="129"/>
      <c r="IAO45" s="128"/>
      <c r="IAP45" s="129"/>
      <c r="IAQ45" s="128"/>
      <c r="IAR45" s="129"/>
      <c r="IAS45" s="128"/>
      <c r="IAT45" s="129"/>
      <c r="IAU45" s="128"/>
      <c r="IAV45" s="129"/>
      <c r="IAW45" s="128"/>
      <c r="IAX45" s="129"/>
      <c r="IAY45" s="128"/>
      <c r="IAZ45" s="129"/>
      <c r="IBA45" s="128"/>
      <c r="IBB45" s="129"/>
      <c r="IBC45" s="128"/>
      <c r="IBD45" s="129"/>
      <c r="IBE45" s="128"/>
      <c r="IBF45" s="129"/>
      <c r="IBG45" s="128"/>
      <c r="IBH45" s="129"/>
      <c r="IBI45" s="128"/>
      <c r="IBJ45" s="129"/>
      <c r="IBK45" s="128"/>
      <c r="IBL45" s="129"/>
      <c r="IBM45" s="128"/>
      <c r="IBN45" s="129"/>
      <c r="IBO45" s="128"/>
      <c r="IBP45" s="129"/>
      <c r="IBQ45" s="128"/>
      <c r="IBR45" s="129"/>
      <c r="IBS45" s="128"/>
      <c r="IBT45" s="129"/>
      <c r="IBU45" s="128"/>
      <c r="IBV45" s="129"/>
      <c r="IBW45" s="128"/>
      <c r="IBX45" s="129"/>
      <c r="IBY45" s="128"/>
      <c r="IBZ45" s="129"/>
      <c r="ICA45" s="128"/>
      <c r="ICB45" s="129"/>
      <c r="ICC45" s="128"/>
      <c r="ICD45" s="129"/>
      <c r="ICE45" s="128"/>
      <c r="ICF45" s="129"/>
      <c r="ICG45" s="128"/>
      <c r="ICH45" s="129"/>
      <c r="ICI45" s="128"/>
      <c r="ICJ45" s="129"/>
      <c r="ICK45" s="128"/>
      <c r="ICL45" s="129"/>
      <c r="ICM45" s="128"/>
      <c r="ICN45" s="129"/>
      <c r="ICO45" s="128"/>
      <c r="ICP45" s="129"/>
      <c r="ICQ45" s="128"/>
      <c r="ICR45" s="129"/>
      <c r="ICS45" s="128"/>
      <c r="ICT45" s="129"/>
      <c r="ICU45" s="128"/>
      <c r="ICV45" s="129"/>
      <c r="ICW45" s="128"/>
      <c r="ICX45" s="129"/>
      <c r="ICY45" s="128"/>
      <c r="ICZ45" s="129"/>
      <c r="IDA45" s="128"/>
      <c r="IDB45" s="129"/>
      <c r="IDC45" s="128"/>
      <c r="IDD45" s="129"/>
      <c r="IDE45" s="128"/>
      <c r="IDF45" s="129"/>
      <c r="IDG45" s="128"/>
      <c r="IDH45" s="129"/>
      <c r="IDI45" s="128"/>
      <c r="IDJ45" s="129"/>
      <c r="IDK45" s="128"/>
      <c r="IDL45" s="129"/>
      <c r="IDM45" s="128"/>
      <c r="IDN45" s="129"/>
      <c r="IDO45" s="128"/>
      <c r="IDP45" s="129"/>
      <c r="IDQ45" s="128"/>
      <c r="IDR45" s="129"/>
      <c r="IDS45" s="128"/>
      <c r="IDT45" s="129"/>
      <c r="IDU45" s="128"/>
      <c r="IDV45" s="129"/>
      <c r="IDW45" s="128"/>
      <c r="IDX45" s="129"/>
      <c r="IDY45" s="128"/>
      <c r="IDZ45" s="129"/>
      <c r="IEA45" s="128"/>
      <c r="IEB45" s="129"/>
      <c r="IEC45" s="128"/>
      <c r="IED45" s="129"/>
      <c r="IEE45" s="128"/>
      <c r="IEF45" s="129"/>
      <c r="IEG45" s="128"/>
      <c r="IEH45" s="129"/>
      <c r="IEI45" s="128"/>
      <c r="IEJ45" s="129"/>
      <c r="IEK45" s="128"/>
      <c r="IEL45" s="129"/>
      <c r="IEM45" s="128"/>
      <c r="IEN45" s="129"/>
      <c r="IEO45" s="128"/>
      <c r="IEP45" s="129"/>
      <c r="IEQ45" s="128"/>
      <c r="IER45" s="129"/>
      <c r="IES45" s="128"/>
      <c r="IET45" s="129"/>
      <c r="IEU45" s="128"/>
      <c r="IEV45" s="129"/>
      <c r="IEW45" s="128"/>
      <c r="IEX45" s="129"/>
      <c r="IEY45" s="128"/>
      <c r="IEZ45" s="129"/>
      <c r="IFA45" s="128"/>
      <c r="IFB45" s="129"/>
      <c r="IFC45" s="128"/>
      <c r="IFD45" s="129"/>
      <c r="IFE45" s="128"/>
      <c r="IFF45" s="129"/>
      <c r="IFG45" s="128"/>
      <c r="IFH45" s="129"/>
      <c r="IFI45" s="128"/>
      <c r="IFJ45" s="129"/>
      <c r="IFK45" s="128"/>
      <c r="IFL45" s="129"/>
      <c r="IFM45" s="128"/>
      <c r="IFN45" s="129"/>
      <c r="IFO45" s="128"/>
      <c r="IFP45" s="129"/>
      <c r="IFQ45" s="128"/>
      <c r="IFR45" s="129"/>
      <c r="IFS45" s="128"/>
      <c r="IFT45" s="129"/>
      <c r="IFU45" s="128"/>
      <c r="IFV45" s="129"/>
      <c r="IFW45" s="128"/>
      <c r="IFX45" s="129"/>
      <c r="IFY45" s="128"/>
      <c r="IFZ45" s="129"/>
      <c r="IGA45" s="128"/>
      <c r="IGB45" s="129"/>
      <c r="IGC45" s="128"/>
      <c r="IGD45" s="129"/>
      <c r="IGE45" s="128"/>
      <c r="IGF45" s="129"/>
      <c r="IGG45" s="128"/>
      <c r="IGH45" s="129"/>
      <c r="IGI45" s="128"/>
      <c r="IGJ45" s="129"/>
      <c r="IGK45" s="128"/>
      <c r="IGL45" s="129"/>
      <c r="IGM45" s="128"/>
      <c r="IGN45" s="129"/>
      <c r="IGO45" s="128"/>
      <c r="IGP45" s="129"/>
      <c r="IGQ45" s="128"/>
      <c r="IGR45" s="129"/>
      <c r="IGS45" s="128"/>
      <c r="IGT45" s="129"/>
      <c r="IGU45" s="128"/>
      <c r="IGV45" s="129"/>
      <c r="IGW45" s="128"/>
      <c r="IGX45" s="129"/>
      <c r="IGY45" s="128"/>
      <c r="IGZ45" s="129"/>
      <c r="IHA45" s="128"/>
      <c r="IHB45" s="129"/>
      <c r="IHC45" s="128"/>
      <c r="IHD45" s="129"/>
      <c r="IHE45" s="128"/>
      <c r="IHF45" s="129"/>
      <c r="IHG45" s="128"/>
      <c r="IHH45" s="129"/>
      <c r="IHI45" s="128"/>
      <c r="IHJ45" s="129"/>
      <c r="IHK45" s="128"/>
      <c r="IHL45" s="129"/>
      <c r="IHM45" s="128"/>
      <c r="IHN45" s="129"/>
      <c r="IHO45" s="128"/>
      <c r="IHP45" s="129"/>
      <c r="IHQ45" s="128"/>
      <c r="IHR45" s="129"/>
      <c r="IHS45" s="128"/>
      <c r="IHT45" s="129"/>
      <c r="IHU45" s="128"/>
      <c r="IHV45" s="129"/>
      <c r="IHW45" s="128"/>
      <c r="IHX45" s="129"/>
      <c r="IHY45" s="128"/>
      <c r="IHZ45" s="129"/>
      <c r="IIA45" s="128"/>
      <c r="IIB45" s="129"/>
      <c r="IIC45" s="128"/>
      <c r="IID45" s="129"/>
      <c r="IIE45" s="128"/>
      <c r="IIF45" s="129"/>
      <c r="IIG45" s="128"/>
      <c r="IIH45" s="129"/>
      <c r="III45" s="128"/>
      <c r="IIJ45" s="129"/>
      <c r="IIK45" s="128"/>
      <c r="IIL45" s="129"/>
      <c r="IIM45" s="128"/>
      <c r="IIN45" s="129"/>
      <c r="IIO45" s="128"/>
      <c r="IIP45" s="129"/>
      <c r="IIQ45" s="128"/>
      <c r="IIR45" s="129"/>
      <c r="IIS45" s="128"/>
      <c r="IIT45" s="129"/>
      <c r="IIU45" s="128"/>
      <c r="IIV45" s="129"/>
      <c r="IIW45" s="128"/>
      <c r="IIX45" s="129"/>
      <c r="IIY45" s="128"/>
      <c r="IIZ45" s="129"/>
      <c r="IJA45" s="128"/>
      <c r="IJB45" s="129"/>
      <c r="IJC45" s="128"/>
      <c r="IJD45" s="129"/>
      <c r="IJE45" s="128"/>
      <c r="IJF45" s="129"/>
      <c r="IJG45" s="128"/>
      <c r="IJH45" s="129"/>
      <c r="IJI45" s="128"/>
      <c r="IJJ45" s="129"/>
      <c r="IJK45" s="128"/>
      <c r="IJL45" s="129"/>
      <c r="IJM45" s="128"/>
      <c r="IJN45" s="129"/>
      <c r="IJO45" s="128"/>
      <c r="IJP45" s="129"/>
      <c r="IJQ45" s="128"/>
      <c r="IJR45" s="129"/>
      <c r="IJS45" s="128"/>
      <c r="IJT45" s="129"/>
      <c r="IJU45" s="128"/>
      <c r="IJV45" s="129"/>
      <c r="IJW45" s="128"/>
      <c r="IJX45" s="129"/>
      <c r="IJY45" s="128"/>
      <c r="IJZ45" s="129"/>
      <c r="IKA45" s="128"/>
      <c r="IKB45" s="129"/>
      <c r="IKC45" s="128"/>
      <c r="IKD45" s="129"/>
      <c r="IKE45" s="128"/>
      <c r="IKF45" s="129"/>
      <c r="IKG45" s="128"/>
      <c r="IKH45" s="129"/>
      <c r="IKI45" s="128"/>
      <c r="IKJ45" s="129"/>
      <c r="IKK45" s="128"/>
      <c r="IKL45" s="129"/>
      <c r="IKM45" s="128"/>
      <c r="IKN45" s="129"/>
      <c r="IKO45" s="128"/>
      <c r="IKP45" s="129"/>
      <c r="IKQ45" s="128"/>
      <c r="IKR45" s="129"/>
      <c r="IKS45" s="128"/>
      <c r="IKT45" s="129"/>
      <c r="IKU45" s="128"/>
      <c r="IKV45" s="129"/>
      <c r="IKW45" s="128"/>
      <c r="IKX45" s="129"/>
      <c r="IKY45" s="128"/>
      <c r="IKZ45" s="129"/>
      <c r="ILA45" s="128"/>
      <c r="ILB45" s="129"/>
      <c r="ILC45" s="128"/>
      <c r="ILD45" s="129"/>
      <c r="ILE45" s="128"/>
      <c r="ILF45" s="129"/>
      <c r="ILG45" s="128"/>
      <c r="ILH45" s="129"/>
      <c r="ILI45" s="128"/>
      <c r="ILJ45" s="129"/>
      <c r="ILK45" s="128"/>
      <c r="ILL45" s="129"/>
      <c r="ILM45" s="128"/>
      <c r="ILN45" s="129"/>
      <c r="ILO45" s="128"/>
      <c r="ILP45" s="129"/>
      <c r="ILQ45" s="128"/>
      <c r="ILR45" s="129"/>
      <c r="ILS45" s="128"/>
      <c r="ILT45" s="129"/>
      <c r="ILU45" s="128"/>
      <c r="ILV45" s="129"/>
      <c r="ILW45" s="128"/>
      <c r="ILX45" s="129"/>
      <c r="ILY45" s="128"/>
      <c r="ILZ45" s="129"/>
      <c r="IMA45" s="128"/>
      <c r="IMB45" s="129"/>
      <c r="IMC45" s="128"/>
      <c r="IMD45" s="129"/>
      <c r="IME45" s="128"/>
      <c r="IMF45" s="129"/>
      <c r="IMG45" s="128"/>
      <c r="IMH45" s="129"/>
      <c r="IMI45" s="128"/>
      <c r="IMJ45" s="129"/>
      <c r="IMK45" s="128"/>
      <c r="IML45" s="129"/>
      <c r="IMM45" s="128"/>
      <c r="IMN45" s="129"/>
      <c r="IMO45" s="128"/>
      <c r="IMP45" s="129"/>
      <c r="IMQ45" s="128"/>
      <c r="IMR45" s="129"/>
      <c r="IMS45" s="128"/>
      <c r="IMT45" s="129"/>
      <c r="IMU45" s="128"/>
      <c r="IMV45" s="129"/>
      <c r="IMW45" s="128"/>
      <c r="IMX45" s="129"/>
      <c r="IMY45" s="128"/>
      <c r="IMZ45" s="129"/>
      <c r="INA45" s="128"/>
      <c r="INB45" s="129"/>
      <c r="INC45" s="128"/>
      <c r="IND45" s="129"/>
      <c r="INE45" s="128"/>
      <c r="INF45" s="129"/>
      <c r="ING45" s="128"/>
      <c r="INH45" s="129"/>
      <c r="INI45" s="128"/>
      <c r="INJ45" s="129"/>
      <c r="INK45" s="128"/>
      <c r="INL45" s="129"/>
      <c r="INM45" s="128"/>
      <c r="INN45" s="129"/>
      <c r="INO45" s="128"/>
      <c r="INP45" s="129"/>
      <c r="INQ45" s="128"/>
      <c r="INR45" s="129"/>
      <c r="INS45" s="128"/>
      <c r="INT45" s="129"/>
      <c r="INU45" s="128"/>
      <c r="INV45" s="129"/>
      <c r="INW45" s="128"/>
      <c r="INX45" s="129"/>
      <c r="INY45" s="128"/>
      <c r="INZ45" s="129"/>
      <c r="IOA45" s="128"/>
      <c r="IOB45" s="129"/>
      <c r="IOC45" s="128"/>
      <c r="IOD45" s="129"/>
      <c r="IOE45" s="128"/>
      <c r="IOF45" s="129"/>
      <c r="IOG45" s="128"/>
      <c r="IOH45" s="129"/>
      <c r="IOI45" s="128"/>
      <c r="IOJ45" s="129"/>
      <c r="IOK45" s="128"/>
      <c r="IOL45" s="129"/>
      <c r="IOM45" s="128"/>
      <c r="ION45" s="129"/>
      <c r="IOO45" s="128"/>
      <c r="IOP45" s="129"/>
      <c r="IOQ45" s="128"/>
      <c r="IOR45" s="129"/>
      <c r="IOS45" s="128"/>
      <c r="IOT45" s="129"/>
      <c r="IOU45" s="128"/>
      <c r="IOV45" s="129"/>
      <c r="IOW45" s="128"/>
      <c r="IOX45" s="129"/>
      <c r="IOY45" s="128"/>
      <c r="IOZ45" s="129"/>
      <c r="IPA45" s="128"/>
      <c r="IPB45" s="129"/>
      <c r="IPC45" s="128"/>
      <c r="IPD45" s="129"/>
      <c r="IPE45" s="128"/>
      <c r="IPF45" s="129"/>
      <c r="IPG45" s="128"/>
      <c r="IPH45" s="129"/>
      <c r="IPI45" s="128"/>
      <c r="IPJ45" s="129"/>
      <c r="IPK45" s="128"/>
      <c r="IPL45" s="129"/>
      <c r="IPM45" s="128"/>
      <c r="IPN45" s="129"/>
      <c r="IPO45" s="128"/>
      <c r="IPP45" s="129"/>
      <c r="IPQ45" s="128"/>
      <c r="IPR45" s="129"/>
      <c r="IPS45" s="128"/>
      <c r="IPT45" s="129"/>
      <c r="IPU45" s="128"/>
      <c r="IPV45" s="129"/>
      <c r="IPW45" s="128"/>
      <c r="IPX45" s="129"/>
      <c r="IPY45" s="128"/>
      <c r="IPZ45" s="129"/>
      <c r="IQA45" s="128"/>
      <c r="IQB45" s="129"/>
      <c r="IQC45" s="128"/>
      <c r="IQD45" s="129"/>
      <c r="IQE45" s="128"/>
      <c r="IQF45" s="129"/>
      <c r="IQG45" s="128"/>
      <c r="IQH45" s="129"/>
      <c r="IQI45" s="128"/>
      <c r="IQJ45" s="129"/>
      <c r="IQK45" s="128"/>
      <c r="IQL45" s="129"/>
      <c r="IQM45" s="128"/>
      <c r="IQN45" s="129"/>
      <c r="IQO45" s="128"/>
      <c r="IQP45" s="129"/>
      <c r="IQQ45" s="128"/>
      <c r="IQR45" s="129"/>
      <c r="IQS45" s="128"/>
      <c r="IQT45" s="129"/>
      <c r="IQU45" s="128"/>
      <c r="IQV45" s="129"/>
      <c r="IQW45" s="128"/>
      <c r="IQX45" s="129"/>
      <c r="IQY45" s="128"/>
      <c r="IQZ45" s="129"/>
      <c r="IRA45" s="128"/>
      <c r="IRB45" s="129"/>
      <c r="IRC45" s="128"/>
      <c r="IRD45" s="129"/>
      <c r="IRE45" s="128"/>
      <c r="IRF45" s="129"/>
      <c r="IRG45" s="128"/>
      <c r="IRH45" s="129"/>
      <c r="IRI45" s="128"/>
      <c r="IRJ45" s="129"/>
      <c r="IRK45" s="128"/>
      <c r="IRL45" s="129"/>
      <c r="IRM45" s="128"/>
      <c r="IRN45" s="129"/>
      <c r="IRO45" s="128"/>
      <c r="IRP45" s="129"/>
      <c r="IRQ45" s="128"/>
      <c r="IRR45" s="129"/>
      <c r="IRS45" s="128"/>
      <c r="IRT45" s="129"/>
      <c r="IRU45" s="128"/>
      <c r="IRV45" s="129"/>
      <c r="IRW45" s="128"/>
      <c r="IRX45" s="129"/>
      <c r="IRY45" s="128"/>
      <c r="IRZ45" s="129"/>
      <c r="ISA45" s="128"/>
      <c r="ISB45" s="129"/>
      <c r="ISC45" s="128"/>
      <c r="ISD45" s="129"/>
      <c r="ISE45" s="128"/>
      <c r="ISF45" s="129"/>
      <c r="ISG45" s="128"/>
      <c r="ISH45" s="129"/>
      <c r="ISI45" s="128"/>
      <c r="ISJ45" s="129"/>
      <c r="ISK45" s="128"/>
      <c r="ISL45" s="129"/>
      <c r="ISM45" s="128"/>
      <c r="ISN45" s="129"/>
      <c r="ISO45" s="128"/>
      <c r="ISP45" s="129"/>
      <c r="ISQ45" s="128"/>
      <c r="ISR45" s="129"/>
      <c r="ISS45" s="128"/>
      <c r="IST45" s="129"/>
      <c r="ISU45" s="128"/>
      <c r="ISV45" s="129"/>
      <c r="ISW45" s="128"/>
      <c r="ISX45" s="129"/>
      <c r="ISY45" s="128"/>
      <c r="ISZ45" s="129"/>
      <c r="ITA45" s="128"/>
      <c r="ITB45" s="129"/>
      <c r="ITC45" s="128"/>
      <c r="ITD45" s="129"/>
      <c r="ITE45" s="128"/>
      <c r="ITF45" s="129"/>
      <c r="ITG45" s="128"/>
      <c r="ITH45" s="129"/>
      <c r="ITI45" s="128"/>
      <c r="ITJ45" s="129"/>
      <c r="ITK45" s="128"/>
      <c r="ITL45" s="129"/>
      <c r="ITM45" s="128"/>
      <c r="ITN45" s="129"/>
      <c r="ITO45" s="128"/>
      <c r="ITP45" s="129"/>
      <c r="ITQ45" s="128"/>
      <c r="ITR45" s="129"/>
      <c r="ITS45" s="128"/>
      <c r="ITT45" s="129"/>
      <c r="ITU45" s="128"/>
      <c r="ITV45" s="129"/>
      <c r="ITW45" s="128"/>
      <c r="ITX45" s="129"/>
      <c r="ITY45" s="128"/>
      <c r="ITZ45" s="129"/>
      <c r="IUA45" s="128"/>
      <c r="IUB45" s="129"/>
      <c r="IUC45" s="128"/>
      <c r="IUD45" s="129"/>
      <c r="IUE45" s="128"/>
      <c r="IUF45" s="129"/>
      <c r="IUG45" s="128"/>
      <c r="IUH45" s="129"/>
      <c r="IUI45" s="128"/>
      <c r="IUJ45" s="129"/>
      <c r="IUK45" s="128"/>
      <c r="IUL45" s="129"/>
      <c r="IUM45" s="128"/>
      <c r="IUN45" s="129"/>
      <c r="IUO45" s="128"/>
      <c r="IUP45" s="129"/>
      <c r="IUQ45" s="128"/>
      <c r="IUR45" s="129"/>
      <c r="IUS45" s="128"/>
      <c r="IUT45" s="129"/>
      <c r="IUU45" s="128"/>
      <c r="IUV45" s="129"/>
      <c r="IUW45" s="128"/>
      <c r="IUX45" s="129"/>
      <c r="IUY45" s="128"/>
      <c r="IUZ45" s="129"/>
      <c r="IVA45" s="128"/>
      <c r="IVB45" s="129"/>
      <c r="IVC45" s="128"/>
      <c r="IVD45" s="129"/>
      <c r="IVE45" s="128"/>
      <c r="IVF45" s="129"/>
      <c r="IVG45" s="128"/>
      <c r="IVH45" s="129"/>
      <c r="IVI45" s="128"/>
      <c r="IVJ45" s="129"/>
      <c r="IVK45" s="128"/>
      <c r="IVL45" s="129"/>
      <c r="IVM45" s="128"/>
      <c r="IVN45" s="129"/>
      <c r="IVO45" s="128"/>
      <c r="IVP45" s="129"/>
      <c r="IVQ45" s="128"/>
      <c r="IVR45" s="129"/>
      <c r="IVS45" s="128"/>
      <c r="IVT45" s="129"/>
      <c r="IVU45" s="128"/>
      <c r="IVV45" s="129"/>
      <c r="IVW45" s="128"/>
      <c r="IVX45" s="129"/>
      <c r="IVY45" s="128"/>
      <c r="IVZ45" s="129"/>
      <c r="IWA45" s="128"/>
      <c r="IWB45" s="129"/>
      <c r="IWC45" s="128"/>
      <c r="IWD45" s="129"/>
      <c r="IWE45" s="128"/>
      <c r="IWF45" s="129"/>
      <c r="IWG45" s="128"/>
      <c r="IWH45" s="129"/>
      <c r="IWI45" s="128"/>
      <c r="IWJ45" s="129"/>
      <c r="IWK45" s="128"/>
      <c r="IWL45" s="129"/>
      <c r="IWM45" s="128"/>
      <c r="IWN45" s="129"/>
      <c r="IWO45" s="128"/>
      <c r="IWP45" s="129"/>
      <c r="IWQ45" s="128"/>
      <c r="IWR45" s="129"/>
      <c r="IWS45" s="128"/>
      <c r="IWT45" s="129"/>
      <c r="IWU45" s="128"/>
      <c r="IWV45" s="129"/>
      <c r="IWW45" s="128"/>
      <c r="IWX45" s="129"/>
      <c r="IWY45" s="128"/>
      <c r="IWZ45" s="129"/>
      <c r="IXA45" s="128"/>
      <c r="IXB45" s="129"/>
      <c r="IXC45" s="128"/>
      <c r="IXD45" s="129"/>
      <c r="IXE45" s="128"/>
      <c r="IXF45" s="129"/>
      <c r="IXG45" s="128"/>
      <c r="IXH45" s="129"/>
      <c r="IXI45" s="128"/>
      <c r="IXJ45" s="129"/>
      <c r="IXK45" s="128"/>
      <c r="IXL45" s="129"/>
      <c r="IXM45" s="128"/>
      <c r="IXN45" s="129"/>
      <c r="IXO45" s="128"/>
      <c r="IXP45" s="129"/>
      <c r="IXQ45" s="128"/>
      <c r="IXR45" s="129"/>
      <c r="IXS45" s="128"/>
      <c r="IXT45" s="129"/>
      <c r="IXU45" s="128"/>
      <c r="IXV45" s="129"/>
      <c r="IXW45" s="128"/>
      <c r="IXX45" s="129"/>
      <c r="IXY45" s="128"/>
      <c r="IXZ45" s="129"/>
      <c r="IYA45" s="128"/>
      <c r="IYB45" s="129"/>
      <c r="IYC45" s="128"/>
      <c r="IYD45" s="129"/>
      <c r="IYE45" s="128"/>
      <c r="IYF45" s="129"/>
      <c r="IYG45" s="128"/>
      <c r="IYH45" s="129"/>
      <c r="IYI45" s="128"/>
      <c r="IYJ45" s="129"/>
      <c r="IYK45" s="128"/>
      <c r="IYL45" s="129"/>
      <c r="IYM45" s="128"/>
      <c r="IYN45" s="129"/>
      <c r="IYO45" s="128"/>
      <c r="IYP45" s="129"/>
      <c r="IYQ45" s="128"/>
      <c r="IYR45" s="129"/>
      <c r="IYS45" s="128"/>
      <c r="IYT45" s="129"/>
      <c r="IYU45" s="128"/>
      <c r="IYV45" s="129"/>
      <c r="IYW45" s="128"/>
      <c r="IYX45" s="129"/>
      <c r="IYY45" s="128"/>
      <c r="IYZ45" s="129"/>
      <c r="IZA45" s="128"/>
      <c r="IZB45" s="129"/>
      <c r="IZC45" s="128"/>
      <c r="IZD45" s="129"/>
      <c r="IZE45" s="128"/>
      <c r="IZF45" s="129"/>
      <c r="IZG45" s="128"/>
      <c r="IZH45" s="129"/>
      <c r="IZI45" s="128"/>
      <c r="IZJ45" s="129"/>
      <c r="IZK45" s="128"/>
      <c r="IZL45" s="129"/>
      <c r="IZM45" s="128"/>
      <c r="IZN45" s="129"/>
      <c r="IZO45" s="128"/>
      <c r="IZP45" s="129"/>
      <c r="IZQ45" s="128"/>
      <c r="IZR45" s="129"/>
      <c r="IZS45" s="128"/>
      <c r="IZT45" s="129"/>
      <c r="IZU45" s="128"/>
      <c r="IZV45" s="129"/>
      <c r="IZW45" s="128"/>
      <c r="IZX45" s="129"/>
      <c r="IZY45" s="128"/>
      <c r="IZZ45" s="129"/>
      <c r="JAA45" s="128"/>
      <c r="JAB45" s="129"/>
      <c r="JAC45" s="128"/>
      <c r="JAD45" s="129"/>
      <c r="JAE45" s="128"/>
      <c r="JAF45" s="129"/>
      <c r="JAG45" s="128"/>
      <c r="JAH45" s="129"/>
      <c r="JAI45" s="128"/>
      <c r="JAJ45" s="129"/>
      <c r="JAK45" s="128"/>
      <c r="JAL45" s="129"/>
      <c r="JAM45" s="128"/>
      <c r="JAN45" s="129"/>
      <c r="JAO45" s="128"/>
      <c r="JAP45" s="129"/>
      <c r="JAQ45" s="128"/>
      <c r="JAR45" s="129"/>
      <c r="JAS45" s="128"/>
      <c r="JAT45" s="129"/>
      <c r="JAU45" s="128"/>
      <c r="JAV45" s="129"/>
      <c r="JAW45" s="128"/>
      <c r="JAX45" s="129"/>
      <c r="JAY45" s="128"/>
      <c r="JAZ45" s="129"/>
      <c r="JBA45" s="128"/>
      <c r="JBB45" s="129"/>
      <c r="JBC45" s="128"/>
      <c r="JBD45" s="129"/>
      <c r="JBE45" s="128"/>
      <c r="JBF45" s="129"/>
      <c r="JBG45" s="128"/>
      <c r="JBH45" s="129"/>
      <c r="JBI45" s="128"/>
      <c r="JBJ45" s="129"/>
      <c r="JBK45" s="128"/>
      <c r="JBL45" s="129"/>
      <c r="JBM45" s="128"/>
      <c r="JBN45" s="129"/>
      <c r="JBO45" s="128"/>
      <c r="JBP45" s="129"/>
      <c r="JBQ45" s="128"/>
      <c r="JBR45" s="129"/>
      <c r="JBS45" s="128"/>
      <c r="JBT45" s="129"/>
      <c r="JBU45" s="128"/>
      <c r="JBV45" s="129"/>
      <c r="JBW45" s="128"/>
      <c r="JBX45" s="129"/>
      <c r="JBY45" s="128"/>
      <c r="JBZ45" s="129"/>
      <c r="JCA45" s="128"/>
      <c r="JCB45" s="129"/>
      <c r="JCC45" s="128"/>
      <c r="JCD45" s="129"/>
      <c r="JCE45" s="128"/>
      <c r="JCF45" s="129"/>
      <c r="JCG45" s="128"/>
      <c r="JCH45" s="129"/>
      <c r="JCI45" s="128"/>
      <c r="JCJ45" s="129"/>
      <c r="JCK45" s="128"/>
      <c r="JCL45" s="129"/>
      <c r="JCM45" s="128"/>
      <c r="JCN45" s="129"/>
      <c r="JCO45" s="128"/>
      <c r="JCP45" s="129"/>
      <c r="JCQ45" s="128"/>
      <c r="JCR45" s="129"/>
      <c r="JCS45" s="128"/>
      <c r="JCT45" s="129"/>
      <c r="JCU45" s="128"/>
      <c r="JCV45" s="129"/>
      <c r="JCW45" s="128"/>
      <c r="JCX45" s="129"/>
      <c r="JCY45" s="128"/>
      <c r="JCZ45" s="129"/>
      <c r="JDA45" s="128"/>
      <c r="JDB45" s="129"/>
      <c r="JDC45" s="128"/>
      <c r="JDD45" s="129"/>
      <c r="JDE45" s="128"/>
      <c r="JDF45" s="129"/>
      <c r="JDG45" s="128"/>
      <c r="JDH45" s="129"/>
      <c r="JDI45" s="128"/>
      <c r="JDJ45" s="129"/>
      <c r="JDK45" s="128"/>
      <c r="JDL45" s="129"/>
      <c r="JDM45" s="128"/>
      <c r="JDN45" s="129"/>
      <c r="JDO45" s="128"/>
      <c r="JDP45" s="129"/>
      <c r="JDQ45" s="128"/>
      <c r="JDR45" s="129"/>
      <c r="JDS45" s="128"/>
      <c r="JDT45" s="129"/>
      <c r="JDU45" s="128"/>
      <c r="JDV45" s="129"/>
      <c r="JDW45" s="128"/>
      <c r="JDX45" s="129"/>
      <c r="JDY45" s="128"/>
      <c r="JDZ45" s="129"/>
      <c r="JEA45" s="128"/>
      <c r="JEB45" s="129"/>
      <c r="JEC45" s="128"/>
      <c r="JED45" s="129"/>
      <c r="JEE45" s="128"/>
      <c r="JEF45" s="129"/>
      <c r="JEG45" s="128"/>
      <c r="JEH45" s="129"/>
      <c r="JEI45" s="128"/>
      <c r="JEJ45" s="129"/>
      <c r="JEK45" s="128"/>
      <c r="JEL45" s="129"/>
      <c r="JEM45" s="128"/>
      <c r="JEN45" s="129"/>
      <c r="JEO45" s="128"/>
      <c r="JEP45" s="129"/>
      <c r="JEQ45" s="128"/>
      <c r="JER45" s="129"/>
      <c r="JES45" s="128"/>
      <c r="JET45" s="129"/>
      <c r="JEU45" s="128"/>
      <c r="JEV45" s="129"/>
      <c r="JEW45" s="128"/>
      <c r="JEX45" s="129"/>
      <c r="JEY45" s="128"/>
      <c r="JEZ45" s="129"/>
      <c r="JFA45" s="128"/>
      <c r="JFB45" s="129"/>
      <c r="JFC45" s="128"/>
      <c r="JFD45" s="129"/>
      <c r="JFE45" s="128"/>
      <c r="JFF45" s="129"/>
      <c r="JFG45" s="128"/>
      <c r="JFH45" s="129"/>
      <c r="JFI45" s="128"/>
      <c r="JFJ45" s="129"/>
      <c r="JFK45" s="128"/>
      <c r="JFL45" s="129"/>
      <c r="JFM45" s="128"/>
      <c r="JFN45" s="129"/>
      <c r="JFO45" s="128"/>
      <c r="JFP45" s="129"/>
      <c r="JFQ45" s="128"/>
      <c r="JFR45" s="129"/>
      <c r="JFS45" s="128"/>
      <c r="JFT45" s="129"/>
      <c r="JFU45" s="128"/>
      <c r="JFV45" s="129"/>
      <c r="JFW45" s="128"/>
      <c r="JFX45" s="129"/>
      <c r="JFY45" s="128"/>
      <c r="JFZ45" s="129"/>
      <c r="JGA45" s="128"/>
      <c r="JGB45" s="129"/>
      <c r="JGC45" s="128"/>
      <c r="JGD45" s="129"/>
      <c r="JGE45" s="128"/>
      <c r="JGF45" s="129"/>
      <c r="JGG45" s="128"/>
      <c r="JGH45" s="129"/>
      <c r="JGI45" s="128"/>
      <c r="JGJ45" s="129"/>
      <c r="JGK45" s="128"/>
      <c r="JGL45" s="129"/>
      <c r="JGM45" s="128"/>
      <c r="JGN45" s="129"/>
      <c r="JGO45" s="128"/>
      <c r="JGP45" s="129"/>
      <c r="JGQ45" s="128"/>
      <c r="JGR45" s="129"/>
      <c r="JGS45" s="128"/>
      <c r="JGT45" s="129"/>
      <c r="JGU45" s="128"/>
      <c r="JGV45" s="129"/>
      <c r="JGW45" s="128"/>
      <c r="JGX45" s="129"/>
      <c r="JGY45" s="128"/>
      <c r="JGZ45" s="129"/>
      <c r="JHA45" s="128"/>
      <c r="JHB45" s="129"/>
      <c r="JHC45" s="128"/>
      <c r="JHD45" s="129"/>
      <c r="JHE45" s="128"/>
      <c r="JHF45" s="129"/>
      <c r="JHG45" s="128"/>
      <c r="JHH45" s="129"/>
      <c r="JHI45" s="128"/>
      <c r="JHJ45" s="129"/>
      <c r="JHK45" s="128"/>
      <c r="JHL45" s="129"/>
      <c r="JHM45" s="128"/>
      <c r="JHN45" s="129"/>
      <c r="JHO45" s="128"/>
      <c r="JHP45" s="129"/>
      <c r="JHQ45" s="128"/>
      <c r="JHR45" s="129"/>
      <c r="JHS45" s="128"/>
      <c r="JHT45" s="129"/>
      <c r="JHU45" s="128"/>
      <c r="JHV45" s="129"/>
      <c r="JHW45" s="128"/>
      <c r="JHX45" s="129"/>
      <c r="JHY45" s="128"/>
      <c r="JHZ45" s="129"/>
      <c r="JIA45" s="128"/>
      <c r="JIB45" s="129"/>
      <c r="JIC45" s="128"/>
      <c r="JID45" s="129"/>
      <c r="JIE45" s="128"/>
      <c r="JIF45" s="129"/>
      <c r="JIG45" s="128"/>
      <c r="JIH45" s="129"/>
      <c r="JII45" s="128"/>
      <c r="JIJ45" s="129"/>
      <c r="JIK45" s="128"/>
      <c r="JIL45" s="129"/>
      <c r="JIM45" s="128"/>
      <c r="JIN45" s="129"/>
      <c r="JIO45" s="128"/>
      <c r="JIP45" s="129"/>
      <c r="JIQ45" s="128"/>
      <c r="JIR45" s="129"/>
      <c r="JIS45" s="128"/>
      <c r="JIT45" s="129"/>
      <c r="JIU45" s="128"/>
      <c r="JIV45" s="129"/>
      <c r="JIW45" s="128"/>
      <c r="JIX45" s="129"/>
      <c r="JIY45" s="128"/>
      <c r="JIZ45" s="129"/>
      <c r="JJA45" s="128"/>
      <c r="JJB45" s="129"/>
      <c r="JJC45" s="128"/>
      <c r="JJD45" s="129"/>
      <c r="JJE45" s="128"/>
      <c r="JJF45" s="129"/>
      <c r="JJG45" s="128"/>
      <c r="JJH45" s="129"/>
      <c r="JJI45" s="128"/>
      <c r="JJJ45" s="129"/>
      <c r="JJK45" s="128"/>
      <c r="JJL45" s="129"/>
      <c r="JJM45" s="128"/>
      <c r="JJN45" s="129"/>
      <c r="JJO45" s="128"/>
      <c r="JJP45" s="129"/>
      <c r="JJQ45" s="128"/>
      <c r="JJR45" s="129"/>
      <c r="JJS45" s="128"/>
      <c r="JJT45" s="129"/>
      <c r="JJU45" s="128"/>
      <c r="JJV45" s="129"/>
      <c r="JJW45" s="128"/>
      <c r="JJX45" s="129"/>
      <c r="JJY45" s="128"/>
      <c r="JJZ45" s="129"/>
      <c r="JKA45" s="128"/>
      <c r="JKB45" s="129"/>
      <c r="JKC45" s="128"/>
      <c r="JKD45" s="129"/>
      <c r="JKE45" s="128"/>
      <c r="JKF45" s="129"/>
      <c r="JKG45" s="128"/>
      <c r="JKH45" s="129"/>
      <c r="JKI45" s="128"/>
      <c r="JKJ45" s="129"/>
      <c r="JKK45" s="128"/>
      <c r="JKL45" s="129"/>
      <c r="JKM45" s="128"/>
      <c r="JKN45" s="129"/>
      <c r="JKO45" s="128"/>
      <c r="JKP45" s="129"/>
      <c r="JKQ45" s="128"/>
      <c r="JKR45" s="129"/>
      <c r="JKS45" s="128"/>
      <c r="JKT45" s="129"/>
      <c r="JKU45" s="128"/>
      <c r="JKV45" s="129"/>
      <c r="JKW45" s="128"/>
      <c r="JKX45" s="129"/>
      <c r="JKY45" s="128"/>
      <c r="JKZ45" s="129"/>
      <c r="JLA45" s="128"/>
      <c r="JLB45" s="129"/>
      <c r="JLC45" s="128"/>
      <c r="JLD45" s="129"/>
      <c r="JLE45" s="128"/>
      <c r="JLF45" s="129"/>
      <c r="JLG45" s="128"/>
      <c r="JLH45" s="129"/>
      <c r="JLI45" s="128"/>
      <c r="JLJ45" s="129"/>
      <c r="JLK45" s="128"/>
      <c r="JLL45" s="129"/>
      <c r="JLM45" s="128"/>
      <c r="JLN45" s="129"/>
      <c r="JLO45" s="128"/>
      <c r="JLP45" s="129"/>
      <c r="JLQ45" s="128"/>
      <c r="JLR45" s="129"/>
      <c r="JLS45" s="128"/>
      <c r="JLT45" s="129"/>
      <c r="JLU45" s="128"/>
      <c r="JLV45" s="129"/>
      <c r="JLW45" s="128"/>
      <c r="JLX45" s="129"/>
      <c r="JLY45" s="128"/>
      <c r="JLZ45" s="129"/>
      <c r="JMA45" s="128"/>
      <c r="JMB45" s="129"/>
      <c r="JMC45" s="128"/>
      <c r="JMD45" s="129"/>
      <c r="JME45" s="128"/>
      <c r="JMF45" s="129"/>
      <c r="JMG45" s="128"/>
      <c r="JMH45" s="129"/>
      <c r="JMI45" s="128"/>
      <c r="JMJ45" s="129"/>
      <c r="JMK45" s="128"/>
      <c r="JML45" s="129"/>
      <c r="JMM45" s="128"/>
      <c r="JMN45" s="129"/>
      <c r="JMO45" s="128"/>
      <c r="JMP45" s="129"/>
      <c r="JMQ45" s="128"/>
      <c r="JMR45" s="129"/>
      <c r="JMS45" s="128"/>
      <c r="JMT45" s="129"/>
      <c r="JMU45" s="128"/>
      <c r="JMV45" s="129"/>
      <c r="JMW45" s="128"/>
      <c r="JMX45" s="129"/>
      <c r="JMY45" s="128"/>
      <c r="JMZ45" s="129"/>
      <c r="JNA45" s="128"/>
      <c r="JNB45" s="129"/>
      <c r="JNC45" s="128"/>
      <c r="JND45" s="129"/>
      <c r="JNE45" s="128"/>
      <c r="JNF45" s="129"/>
      <c r="JNG45" s="128"/>
      <c r="JNH45" s="129"/>
      <c r="JNI45" s="128"/>
      <c r="JNJ45" s="129"/>
      <c r="JNK45" s="128"/>
      <c r="JNL45" s="129"/>
      <c r="JNM45" s="128"/>
      <c r="JNN45" s="129"/>
      <c r="JNO45" s="128"/>
      <c r="JNP45" s="129"/>
      <c r="JNQ45" s="128"/>
      <c r="JNR45" s="129"/>
      <c r="JNS45" s="128"/>
      <c r="JNT45" s="129"/>
      <c r="JNU45" s="128"/>
      <c r="JNV45" s="129"/>
      <c r="JNW45" s="128"/>
      <c r="JNX45" s="129"/>
      <c r="JNY45" s="128"/>
      <c r="JNZ45" s="129"/>
      <c r="JOA45" s="128"/>
      <c r="JOB45" s="129"/>
      <c r="JOC45" s="128"/>
      <c r="JOD45" s="129"/>
      <c r="JOE45" s="128"/>
      <c r="JOF45" s="129"/>
      <c r="JOG45" s="128"/>
      <c r="JOH45" s="129"/>
      <c r="JOI45" s="128"/>
      <c r="JOJ45" s="129"/>
      <c r="JOK45" s="128"/>
      <c r="JOL45" s="129"/>
      <c r="JOM45" s="128"/>
      <c r="JON45" s="129"/>
      <c r="JOO45" s="128"/>
      <c r="JOP45" s="129"/>
      <c r="JOQ45" s="128"/>
      <c r="JOR45" s="129"/>
      <c r="JOS45" s="128"/>
      <c r="JOT45" s="129"/>
      <c r="JOU45" s="128"/>
      <c r="JOV45" s="129"/>
      <c r="JOW45" s="128"/>
      <c r="JOX45" s="129"/>
      <c r="JOY45" s="128"/>
      <c r="JOZ45" s="129"/>
      <c r="JPA45" s="128"/>
      <c r="JPB45" s="129"/>
      <c r="JPC45" s="128"/>
      <c r="JPD45" s="129"/>
      <c r="JPE45" s="128"/>
      <c r="JPF45" s="129"/>
      <c r="JPG45" s="128"/>
      <c r="JPH45" s="129"/>
      <c r="JPI45" s="128"/>
      <c r="JPJ45" s="129"/>
      <c r="JPK45" s="128"/>
      <c r="JPL45" s="129"/>
      <c r="JPM45" s="128"/>
      <c r="JPN45" s="129"/>
      <c r="JPO45" s="128"/>
      <c r="JPP45" s="129"/>
      <c r="JPQ45" s="128"/>
      <c r="JPR45" s="129"/>
      <c r="JPS45" s="128"/>
      <c r="JPT45" s="129"/>
      <c r="JPU45" s="128"/>
      <c r="JPV45" s="129"/>
      <c r="JPW45" s="128"/>
      <c r="JPX45" s="129"/>
      <c r="JPY45" s="128"/>
      <c r="JPZ45" s="129"/>
      <c r="JQA45" s="128"/>
      <c r="JQB45" s="129"/>
      <c r="JQC45" s="128"/>
      <c r="JQD45" s="129"/>
      <c r="JQE45" s="128"/>
      <c r="JQF45" s="129"/>
      <c r="JQG45" s="128"/>
      <c r="JQH45" s="129"/>
      <c r="JQI45" s="128"/>
      <c r="JQJ45" s="129"/>
      <c r="JQK45" s="128"/>
      <c r="JQL45" s="129"/>
      <c r="JQM45" s="128"/>
      <c r="JQN45" s="129"/>
      <c r="JQO45" s="128"/>
      <c r="JQP45" s="129"/>
      <c r="JQQ45" s="128"/>
      <c r="JQR45" s="129"/>
      <c r="JQS45" s="128"/>
      <c r="JQT45" s="129"/>
      <c r="JQU45" s="128"/>
      <c r="JQV45" s="129"/>
      <c r="JQW45" s="128"/>
      <c r="JQX45" s="129"/>
      <c r="JQY45" s="128"/>
      <c r="JQZ45" s="129"/>
      <c r="JRA45" s="128"/>
      <c r="JRB45" s="129"/>
      <c r="JRC45" s="128"/>
      <c r="JRD45" s="129"/>
      <c r="JRE45" s="128"/>
      <c r="JRF45" s="129"/>
      <c r="JRG45" s="128"/>
      <c r="JRH45" s="129"/>
      <c r="JRI45" s="128"/>
      <c r="JRJ45" s="129"/>
      <c r="JRK45" s="128"/>
      <c r="JRL45" s="129"/>
      <c r="JRM45" s="128"/>
      <c r="JRN45" s="129"/>
      <c r="JRO45" s="128"/>
      <c r="JRP45" s="129"/>
      <c r="JRQ45" s="128"/>
      <c r="JRR45" s="129"/>
      <c r="JRS45" s="128"/>
      <c r="JRT45" s="129"/>
      <c r="JRU45" s="128"/>
      <c r="JRV45" s="129"/>
      <c r="JRW45" s="128"/>
      <c r="JRX45" s="129"/>
      <c r="JRY45" s="128"/>
      <c r="JRZ45" s="129"/>
      <c r="JSA45" s="128"/>
      <c r="JSB45" s="129"/>
      <c r="JSC45" s="128"/>
      <c r="JSD45" s="129"/>
      <c r="JSE45" s="128"/>
      <c r="JSF45" s="129"/>
      <c r="JSG45" s="128"/>
      <c r="JSH45" s="129"/>
      <c r="JSI45" s="128"/>
      <c r="JSJ45" s="129"/>
      <c r="JSK45" s="128"/>
      <c r="JSL45" s="129"/>
      <c r="JSM45" s="128"/>
      <c r="JSN45" s="129"/>
      <c r="JSO45" s="128"/>
      <c r="JSP45" s="129"/>
      <c r="JSQ45" s="128"/>
      <c r="JSR45" s="129"/>
      <c r="JSS45" s="128"/>
      <c r="JST45" s="129"/>
      <c r="JSU45" s="128"/>
      <c r="JSV45" s="129"/>
      <c r="JSW45" s="128"/>
      <c r="JSX45" s="129"/>
      <c r="JSY45" s="128"/>
      <c r="JSZ45" s="129"/>
      <c r="JTA45" s="128"/>
      <c r="JTB45" s="129"/>
      <c r="JTC45" s="128"/>
      <c r="JTD45" s="129"/>
      <c r="JTE45" s="128"/>
      <c r="JTF45" s="129"/>
      <c r="JTG45" s="128"/>
      <c r="JTH45" s="129"/>
      <c r="JTI45" s="128"/>
      <c r="JTJ45" s="129"/>
      <c r="JTK45" s="128"/>
      <c r="JTL45" s="129"/>
      <c r="JTM45" s="128"/>
      <c r="JTN45" s="129"/>
      <c r="JTO45" s="128"/>
      <c r="JTP45" s="129"/>
      <c r="JTQ45" s="128"/>
      <c r="JTR45" s="129"/>
      <c r="JTS45" s="128"/>
      <c r="JTT45" s="129"/>
      <c r="JTU45" s="128"/>
      <c r="JTV45" s="129"/>
      <c r="JTW45" s="128"/>
      <c r="JTX45" s="129"/>
      <c r="JTY45" s="128"/>
      <c r="JTZ45" s="129"/>
      <c r="JUA45" s="128"/>
      <c r="JUB45" s="129"/>
      <c r="JUC45" s="128"/>
      <c r="JUD45" s="129"/>
      <c r="JUE45" s="128"/>
      <c r="JUF45" s="129"/>
      <c r="JUG45" s="128"/>
      <c r="JUH45" s="129"/>
      <c r="JUI45" s="128"/>
      <c r="JUJ45" s="129"/>
      <c r="JUK45" s="128"/>
      <c r="JUL45" s="129"/>
      <c r="JUM45" s="128"/>
      <c r="JUN45" s="129"/>
      <c r="JUO45" s="128"/>
      <c r="JUP45" s="129"/>
      <c r="JUQ45" s="128"/>
      <c r="JUR45" s="129"/>
      <c r="JUS45" s="128"/>
      <c r="JUT45" s="129"/>
      <c r="JUU45" s="128"/>
      <c r="JUV45" s="129"/>
      <c r="JUW45" s="128"/>
      <c r="JUX45" s="129"/>
      <c r="JUY45" s="128"/>
      <c r="JUZ45" s="129"/>
      <c r="JVA45" s="128"/>
      <c r="JVB45" s="129"/>
      <c r="JVC45" s="128"/>
      <c r="JVD45" s="129"/>
      <c r="JVE45" s="128"/>
      <c r="JVF45" s="129"/>
      <c r="JVG45" s="128"/>
      <c r="JVH45" s="129"/>
      <c r="JVI45" s="128"/>
      <c r="JVJ45" s="129"/>
      <c r="JVK45" s="128"/>
      <c r="JVL45" s="129"/>
      <c r="JVM45" s="128"/>
      <c r="JVN45" s="129"/>
      <c r="JVO45" s="128"/>
      <c r="JVP45" s="129"/>
      <c r="JVQ45" s="128"/>
      <c r="JVR45" s="129"/>
      <c r="JVS45" s="128"/>
      <c r="JVT45" s="129"/>
      <c r="JVU45" s="128"/>
      <c r="JVV45" s="129"/>
      <c r="JVW45" s="128"/>
      <c r="JVX45" s="129"/>
      <c r="JVY45" s="128"/>
      <c r="JVZ45" s="129"/>
      <c r="JWA45" s="128"/>
      <c r="JWB45" s="129"/>
      <c r="JWC45" s="128"/>
      <c r="JWD45" s="129"/>
      <c r="JWE45" s="128"/>
      <c r="JWF45" s="129"/>
      <c r="JWG45" s="128"/>
      <c r="JWH45" s="129"/>
      <c r="JWI45" s="128"/>
      <c r="JWJ45" s="129"/>
      <c r="JWK45" s="128"/>
      <c r="JWL45" s="129"/>
      <c r="JWM45" s="128"/>
      <c r="JWN45" s="129"/>
      <c r="JWO45" s="128"/>
      <c r="JWP45" s="129"/>
      <c r="JWQ45" s="128"/>
      <c r="JWR45" s="129"/>
      <c r="JWS45" s="128"/>
      <c r="JWT45" s="129"/>
      <c r="JWU45" s="128"/>
      <c r="JWV45" s="129"/>
      <c r="JWW45" s="128"/>
      <c r="JWX45" s="129"/>
      <c r="JWY45" s="128"/>
      <c r="JWZ45" s="129"/>
      <c r="JXA45" s="128"/>
      <c r="JXB45" s="129"/>
      <c r="JXC45" s="128"/>
      <c r="JXD45" s="129"/>
      <c r="JXE45" s="128"/>
      <c r="JXF45" s="129"/>
      <c r="JXG45" s="128"/>
      <c r="JXH45" s="129"/>
      <c r="JXI45" s="128"/>
      <c r="JXJ45" s="129"/>
      <c r="JXK45" s="128"/>
      <c r="JXL45" s="129"/>
      <c r="JXM45" s="128"/>
      <c r="JXN45" s="129"/>
      <c r="JXO45" s="128"/>
      <c r="JXP45" s="129"/>
      <c r="JXQ45" s="128"/>
      <c r="JXR45" s="129"/>
      <c r="JXS45" s="128"/>
      <c r="JXT45" s="129"/>
      <c r="JXU45" s="128"/>
      <c r="JXV45" s="129"/>
      <c r="JXW45" s="128"/>
      <c r="JXX45" s="129"/>
      <c r="JXY45" s="128"/>
      <c r="JXZ45" s="129"/>
      <c r="JYA45" s="128"/>
      <c r="JYB45" s="129"/>
      <c r="JYC45" s="128"/>
      <c r="JYD45" s="129"/>
      <c r="JYE45" s="128"/>
      <c r="JYF45" s="129"/>
      <c r="JYG45" s="128"/>
      <c r="JYH45" s="129"/>
      <c r="JYI45" s="128"/>
      <c r="JYJ45" s="129"/>
      <c r="JYK45" s="128"/>
      <c r="JYL45" s="129"/>
      <c r="JYM45" s="128"/>
      <c r="JYN45" s="129"/>
      <c r="JYO45" s="128"/>
      <c r="JYP45" s="129"/>
      <c r="JYQ45" s="128"/>
      <c r="JYR45" s="129"/>
      <c r="JYS45" s="128"/>
      <c r="JYT45" s="129"/>
      <c r="JYU45" s="128"/>
      <c r="JYV45" s="129"/>
      <c r="JYW45" s="128"/>
      <c r="JYX45" s="129"/>
      <c r="JYY45" s="128"/>
      <c r="JYZ45" s="129"/>
      <c r="JZA45" s="128"/>
      <c r="JZB45" s="129"/>
      <c r="JZC45" s="128"/>
      <c r="JZD45" s="129"/>
      <c r="JZE45" s="128"/>
      <c r="JZF45" s="129"/>
      <c r="JZG45" s="128"/>
      <c r="JZH45" s="129"/>
      <c r="JZI45" s="128"/>
      <c r="JZJ45" s="129"/>
      <c r="JZK45" s="128"/>
      <c r="JZL45" s="129"/>
      <c r="JZM45" s="128"/>
      <c r="JZN45" s="129"/>
      <c r="JZO45" s="128"/>
      <c r="JZP45" s="129"/>
      <c r="JZQ45" s="128"/>
      <c r="JZR45" s="129"/>
      <c r="JZS45" s="128"/>
      <c r="JZT45" s="129"/>
      <c r="JZU45" s="128"/>
      <c r="JZV45" s="129"/>
      <c r="JZW45" s="128"/>
      <c r="JZX45" s="129"/>
      <c r="JZY45" s="128"/>
      <c r="JZZ45" s="129"/>
      <c r="KAA45" s="128"/>
      <c r="KAB45" s="129"/>
      <c r="KAC45" s="128"/>
      <c r="KAD45" s="129"/>
      <c r="KAE45" s="128"/>
      <c r="KAF45" s="129"/>
      <c r="KAG45" s="128"/>
      <c r="KAH45" s="129"/>
      <c r="KAI45" s="128"/>
      <c r="KAJ45" s="129"/>
      <c r="KAK45" s="128"/>
      <c r="KAL45" s="129"/>
      <c r="KAM45" s="128"/>
      <c r="KAN45" s="129"/>
      <c r="KAO45" s="128"/>
      <c r="KAP45" s="129"/>
      <c r="KAQ45" s="128"/>
      <c r="KAR45" s="129"/>
      <c r="KAS45" s="128"/>
      <c r="KAT45" s="129"/>
      <c r="KAU45" s="128"/>
      <c r="KAV45" s="129"/>
      <c r="KAW45" s="128"/>
      <c r="KAX45" s="129"/>
      <c r="KAY45" s="128"/>
      <c r="KAZ45" s="129"/>
      <c r="KBA45" s="128"/>
      <c r="KBB45" s="129"/>
      <c r="KBC45" s="128"/>
      <c r="KBD45" s="129"/>
      <c r="KBE45" s="128"/>
      <c r="KBF45" s="129"/>
      <c r="KBG45" s="128"/>
      <c r="KBH45" s="129"/>
      <c r="KBI45" s="128"/>
      <c r="KBJ45" s="129"/>
      <c r="KBK45" s="128"/>
      <c r="KBL45" s="129"/>
      <c r="KBM45" s="128"/>
      <c r="KBN45" s="129"/>
      <c r="KBO45" s="128"/>
      <c r="KBP45" s="129"/>
      <c r="KBQ45" s="128"/>
      <c r="KBR45" s="129"/>
      <c r="KBS45" s="128"/>
      <c r="KBT45" s="129"/>
      <c r="KBU45" s="128"/>
      <c r="KBV45" s="129"/>
      <c r="KBW45" s="128"/>
      <c r="KBX45" s="129"/>
      <c r="KBY45" s="128"/>
      <c r="KBZ45" s="129"/>
      <c r="KCA45" s="128"/>
      <c r="KCB45" s="129"/>
      <c r="KCC45" s="128"/>
      <c r="KCD45" s="129"/>
      <c r="KCE45" s="128"/>
      <c r="KCF45" s="129"/>
      <c r="KCG45" s="128"/>
      <c r="KCH45" s="129"/>
      <c r="KCI45" s="128"/>
      <c r="KCJ45" s="129"/>
      <c r="KCK45" s="128"/>
      <c r="KCL45" s="129"/>
      <c r="KCM45" s="128"/>
      <c r="KCN45" s="129"/>
      <c r="KCO45" s="128"/>
      <c r="KCP45" s="129"/>
      <c r="KCQ45" s="128"/>
      <c r="KCR45" s="129"/>
      <c r="KCS45" s="128"/>
      <c r="KCT45" s="129"/>
      <c r="KCU45" s="128"/>
      <c r="KCV45" s="129"/>
      <c r="KCW45" s="128"/>
      <c r="KCX45" s="129"/>
      <c r="KCY45" s="128"/>
      <c r="KCZ45" s="129"/>
      <c r="KDA45" s="128"/>
      <c r="KDB45" s="129"/>
      <c r="KDC45" s="128"/>
      <c r="KDD45" s="129"/>
      <c r="KDE45" s="128"/>
      <c r="KDF45" s="129"/>
      <c r="KDG45" s="128"/>
      <c r="KDH45" s="129"/>
      <c r="KDI45" s="128"/>
      <c r="KDJ45" s="129"/>
      <c r="KDK45" s="128"/>
      <c r="KDL45" s="129"/>
      <c r="KDM45" s="128"/>
      <c r="KDN45" s="129"/>
      <c r="KDO45" s="128"/>
      <c r="KDP45" s="129"/>
      <c r="KDQ45" s="128"/>
      <c r="KDR45" s="129"/>
      <c r="KDS45" s="128"/>
      <c r="KDT45" s="129"/>
      <c r="KDU45" s="128"/>
      <c r="KDV45" s="129"/>
      <c r="KDW45" s="128"/>
      <c r="KDX45" s="129"/>
      <c r="KDY45" s="128"/>
      <c r="KDZ45" s="129"/>
      <c r="KEA45" s="128"/>
      <c r="KEB45" s="129"/>
      <c r="KEC45" s="128"/>
      <c r="KED45" s="129"/>
      <c r="KEE45" s="128"/>
      <c r="KEF45" s="129"/>
      <c r="KEG45" s="128"/>
      <c r="KEH45" s="129"/>
      <c r="KEI45" s="128"/>
      <c r="KEJ45" s="129"/>
      <c r="KEK45" s="128"/>
      <c r="KEL45" s="129"/>
      <c r="KEM45" s="128"/>
      <c r="KEN45" s="129"/>
      <c r="KEO45" s="128"/>
      <c r="KEP45" s="129"/>
      <c r="KEQ45" s="128"/>
      <c r="KER45" s="129"/>
      <c r="KES45" s="128"/>
      <c r="KET45" s="129"/>
      <c r="KEU45" s="128"/>
      <c r="KEV45" s="129"/>
      <c r="KEW45" s="128"/>
      <c r="KEX45" s="129"/>
      <c r="KEY45" s="128"/>
      <c r="KEZ45" s="129"/>
      <c r="KFA45" s="128"/>
      <c r="KFB45" s="129"/>
      <c r="KFC45" s="128"/>
      <c r="KFD45" s="129"/>
      <c r="KFE45" s="128"/>
      <c r="KFF45" s="129"/>
      <c r="KFG45" s="128"/>
      <c r="KFH45" s="129"/>
      <c r="KFI45" s="128"/>
      <c r="KFJ45" s="129"/>
      <c r="KFK45" s="128"/>
      <c r="KFL45" s="129"/>
      <c r="KFM45" s="128"/>
      <c r="KFN45" s="129"/>
      <c r="KFO45" s="128"/>
      <c r="KFP45" s="129"/>
      <c r="KFQ45" s="128"/>
      <c r="KFR45" s="129"/>
      <c r="KFS45" s="128"/>
      <c r="KFT45" s="129"/>
      <c r="KFU45" s="128"/>
      <c r="KFV45" s="129"/>
      <c r="KFW45" s="128"/>
      <c r="KFX45" s="129"/>
      <c r="KFY45" s="128"/>
      <c r="KFZ45" s="129"/>
      <c r="KGA45" s="128"/>
      <c r="KGB45" s="129"/>
      <c r="KGC45" s="128"/>
      <c r="KGD45" s="129"/>
      <c r="KGE45" s="128"/>
      <c r="KGF45" s="129"/>
      <c r="KGG45" s="128"/>
      <c r="KGH45" s="129"/>
      <c r="KGI45" s="128"/>
      <c r="KGJ45" s="129"/>
      <c r="KGK45" s="128"/>
      <c r="KGL45" s="129"/>
      <c r="KGM45" s="128"/>
      <c r="KGN45" s="129"/>
      <c r="KGO45" s="128"/>
      <c r="KGP45" s="129"/>
      <c r="KGQ45" s="128"/>
      <c r="KGR45" s="129"/>
      <c r="KGS45" s="128"/>
      <c r="KGT45" s="129"/>
      <c r="KGU45" s="128"/>
      <c r="KGV45" s="129"/>
      <c r="KGW45" s="128"/>
      <c r="KGX45" s="129"/>
      <c r="KGY45" s="128"/>
      <c r="KGZ45" s="129"/>
      <c r="KHA45" s="128"/>
      <c r="KHB45" s="129"/>
      <c r="KHC45" s="128"/>
      <c r="KHD45" s="129"/>
      <c r="KHE45" s="128"/>
      <c r="KHF45" s="129"/>
      <c r="KHG45" s="128"/>
      <c r="KHH45" s="129"/>
      <c r="KHI45" s="128"/>
      <c r="KHJ45" s="129"/>
      <c r="KHK45" s="128"/>
      <c r="KHL45" s="129"/>
      <c r="KHM45" s="128"/>
      <c r="KHN45" s="129"/>
      <c r="KHO45" s="128"/>
      <c r="KHP45" s="129"/>
      <c r="KHQ45" s="128"/>
      <c r="KHR45" s="129"/>
      <c r="KHS45" s="128"/>
      <c r="KHT45" s="129"/>
      <c r="KHU45" s="128"/>
      <c r="KHV45" s="129"/>
      <c r="KHW45" s="128"/>
      <c r="KHX45" s="129"/>
      <c r="KHY45" s="128"/>
      <c r="KHZ45" s="129"/>
      <c r="KIA45" s="128"/>
      <c r="KIB45" s="129"/>
      <c r="KIC45" s="128"/>
      <c r="KID45" s="129"/>
      <c r="KIE45" s="128"/>
      <c r="KIF45" s="129"/>
      <c r="KIG45" s="128"/>
      <c r="KIH45" s="129"/>
      <c r="KII45" s="128"/>
      <c r="KIJ45" s="129"/>
      <c r="KIK45" s="128"/>
      <c r="KIL45" s="129"/>
      <c r="KIM45" s="128"/>
      <c r="KIN45" s="129"/>
      <c r="KIO45" s="128"/>
      <c r="KIP45" s="129"/>
      <c r="KIQ45" s="128"/>
      <c r="KIR45" s="129"/>
      <c r="KIS45" s="128"/>
      <c r="KIT45" s="129"/>
      <c r="KIU45" s="128"/>
      <c r="KIV45" s="129"/>
      <c r="KIW45" s="128"/>
      <c r="KIX45" s="129"/>
      <c r="KIY45" s="128"/>
      <c r="KIZ45" s="129"/>
      <c r="KJA45" s="128"/>
      <c r="KJB45" s="129"/>
      <c r="KJC45" s="128"/>
      <c r="KJD45" s="129"/>
      <c r="KJE45" s="128"/>
      <c r="KJF45" s="129"/>
      <c r="KJG45" s="128"/>
      <c r="KJH45" s="129"/>
      <c r="KJI45" s="128"/>
      <c r="KJJ45" s="129"/>
      <c r="KJK45" s="128"/>
      <c r="KJL45" s="129"/>
      <c r="KJM45" s="128"/>
      <c r="KJN45" s="129"/>
      <c r="KJO45" s="128"/>
      <c r="KJP45" s="129"/>
      <c r="KJQ45" s="128"/>
      <c r="KJR45" s="129"/>
      <c r="KJS45" s="128"/>
      <c r="KJT45" s="129"/>
      <c r="KJU45" s="128"/>
      <c r="KJV45" s="129"/>
      <c r="KJW45" s="128"/>
      <c r="KJX45" s="129"/>
      <c r="KJY45" s="128"/>
      <c r="KJZ45" s="129"/>
      <c r="KKA45" s="128"/>
      <c r="KKB45" s="129"/>
      <c r="KKC45" s="128"/>
      <c r="KKD45" s="129"/>
      <c r="KKE45" s="128"/>
      <c r="KKF45" s="129"/>
      <c r="KKG45" s="128"/>
      <c r="KKH45" s="129"/>
      <c r="KKI45" s="128"/>
      <c r="KKJ45" s="129"/>
      <c r="KKK45" s="128"/>
      <c r="KKL45" s="129"/>
      <c r="KKM45" s="128"/>
      <c r="KKN45" s="129"/>
      <c r="KKO45" s="128"/>
      <c r="KKP45" s="129"/>
      <c r="KKQ45" s="128"/>
      <c r="KKR45" s="129"/>
      <c r="KKS45" s="128"/>
      <c r="KKT45" s="129"/>
      <c r="KKU45" s="128"/>
      <c r="KKV45" s="129"/>
      <c r="KKW45" s="128"/>
      <c r="KKX45" s="129"/>
      <c r="KKY45" s="128"/>
      <c r="KKZ45" s="129"/>
      <c r="KLA45" s="128"/>
      <c r="KLB45" s="129"/>
      <c r="KLC45" s="128"/>
      <c r="KLD45" s="129"/>
      <c r="KLE45" s="128"/>
      <c r="KLF45" s="129"/>
      <c r="KLG45" s="128"/>
      <c r="KLH45" s="129"/>
      <c r="KLI45" s="128"/>
      <c r="KLJ45" s="129"/>
      <c r="KLK45" s="128"/>
      <c r="KLL45" s="129"/>
      <c r="KLM45" s="128"/>
      <c r="KLN45" s="129"/>
      <c r="KLO45" s="128"/>
      <c r="KLP45" s="129"/>
      <c r="KLQ45" s="128"/>
      <c r="KLR45" s="129"/>
      <c r="KLS45" s="128"/>
      <c r="KLT45" s="129"/>
      <c r="KLU45" s="128"/>
      <c r="KLV45" s="129"/>
      <c r="KLW45" s="128"/>
      <c r="KLX45" s="129"/>
      <c r="KLY45" s="128"/>
      <c r="KLZ45" s="129"/>
      <c r="KMA45" s="128"/>
      <c r="KMB45" s="129"/>
      <c r="KMC45" s="128"/>
      <c r="KMD45" s="129"/>
      <c r="KME45" s="128"/>
      <c r="KMF45" s="129"/>
      <c r="KMG45" s="128"/>
      <c r="KMH45" s="129"/>
      <c r="KMI45" s="128"/>
      <c r="KMJ45" s="129"/>
      <c r="KMK45" s="128"/>
      <c r="KML45" s="129"/>
      <c r="KMM45" s="128"/>
      <c r="KMN45" s="129"/>
      <c r="KMO45" s="128"/>
      <c r="KMP45" s="129"/>
      <c r="KMQ45" s="128"/>
      <c r="KMR45" s="129"/>
      <c r="KMS45" s="128"/>
      <c r="KMT45" s="129"/>
      <c r="KMU45" s="128"/>
      <c r="KMV45" s="129"/>
      <c r="KMW45" s="128"/>
      <c r="KMX45" s="129"/>
      <c r="KMY45" s="128"/>
      <c r="KMZ45" s="129"/>
      <c r="KNA45" s="128"/>
      <c r="KNB45" s="129"/>
      <c r="KNC45" s="128"/>
      <c r="KND45" s="129"/>
      <c r="KNE45" s="128"/>
      <c r="KNF45" s="129"/>
      <c r="KNG45" s="128"/>
      <c r="KNH45" s="129"/>
      <c r="KNI45" s="128"/>
      <c r="KNJ45" s="129"/>
      <c r="KNK45" s="128"/>
      <c r="KNL45" s="129"/>
      <c r="KNM45" s="128"/>
      <c r="KNN45" s="129"/>
      <c r="KNO45" s="128"/>
      <c r="KNP45" s="129"/>
      <c r="KNQ45" s="128"/>
      <c r="KNR45" s="129"/>
      <c r="KNS45" s="128"/>
      <c r="KNT45" s="129"/>
      <c r="KNU45" s="128"/>
      <c r="KNV45" s="129"/>
      <c r="KNW45" s="128"/>
      <c r="KNX45" s="129"/>
      <c r="KNY45" s="128"/>
      <c r="KNZ45" s="129"/>
      <c r="KOA45" s="128"/>
      <c r="KOB45" s="129"/>
      <c r="KOC45" s="128"/>
      <c r="KOD45" s="129"/>
      <c r="KOE45" s="128"/>
      <c r="KOF45" s="129"/>
      <c r="KOG45" s="128"/>
      <c r="KOH45" s="129"/>
      <c r="KOI45" s="128"/>
      <c r="KOJ45" s="129"/>
      <c r="KOK45" s="128"/>
      <c r="KOL45" s="129"/>
      <c r="KOM45" s="128"/>
      <c r="KON45" s="129"/>
      <c r="KOO45" s="128"/>
      <c r="KOP45" s="129"/>
      <c r="KOQ45" s="128"/>
      <c r="KOR45" s="129"/>
      <c r="KOS45" s="128"/>
      <c r="KOT45" s="129"/>
      <c r="KOU45" s="128"/>
      <c r="KOV45" s="129"/>
      <c r="KOW45" s="128"/>
      <c r="KOX45" s="129"/>
      <c r="KOY45" s="128"/>
      <c r="KOZ45" s="129"/>
      <c r="KPA45" s="128"/>
      <c r="KPB45" s="129"/>
      <c r="KPC45" s="128"/>
      <c r="KPD45" s="129"/>
      <c r="KPE45" s="128"/>
      <c r="KPF45" s="129"/>
      <c r="KPG45" s="128"/>
      <c r="KPH45" s="129"/>
      <c r="KPI45" s="128"/>
      <c r="KPJ45" s="129"/>
      <c r="KPK45" s="128"/>
      <c r="KPL45" s="129"/>
      <c r="KPM45" s="128"/>
      <c r="KPN45" s="129"/>
      <c r="KPO45" s="128"/>
      <c r="KPP45" s="129"/>
      <c r="KPQ45" s="128"/>
      <c r="KPR45" s="129"/>
      <c r="KPS45" s="128"/>
      <c r="KPT45" s="129"/>
      <c r="KPU45" s="128"/>
      <c r="KPV45" s="129"/>
      <c r="KPW45" s="128"/>
      <c r="KPX45" s="129"/>
      <c r="KPY45" s="128"/>
      <c r="KPZ45" s="129"/>
      <c r="KQA45" s="128"/>
      <c r="KQB45" s="129"/>
      <c r="KQC45" s="128"/>
      <c r="KQD45" s="129"/>
      <c r="KQE45" s="128"/>
      <c r="KQF45" s="129"/>
      <c r="KQG45" s="128"/>
      <c r="KQH45" s="129"/>
      <c r="KQI45" s="128"/>
      <c r="KQJ45" s="129"/>
      <c r="KQK45" s="128"/>
      <c r="KQL45" s="129"/>
      <c r="KQM45" s="128"/>
      <c r="KQN45" s="129"/>
      <c r="KQO45" s="128"/>
      <c r="KQP45" s="129"/>
      <c r="KQQ45" s="128"/>
      <c r="KQR45" s="129"/>
      <c r="KQS45" s="128"/>
      <c r="KQT45" s="129"/>
      <c r="KQU45" s="128"/>
      <c r="KQV45" s="129"/>
      <c r="KQW45" s="128"/>
      <c r="KQX45" s="129"/>
      <c r="KQY45" s="128"/>
      <c r="KQZ45" s="129"/>
      <c r="KRA45" s="128"/>
      <c r="KRB45" s="129"/>
      <c r="KRC45" s="128"/>
      <c r="KRD45" s="129"/>
      <c r="KRE45" s="128"/>
      <c r="KRF45" s="129"/>
      <c r="KRG45" s="128"/>
      <c r="KRH45" s="129"/>
      <c r="KRI45" s="128"/>
      <c r="KRJ45" s="129"/>
      <c r="KRK45" s="128"/>
      <c r="KRL45" s="129"/>
      <c r="KRM45" s="128"/>
      <c r="KRN45" s="129"/>
      <c r="KRO45" s="128"/>
      <c r="KRP45" s="129"/>
      <c r="KRQ45" s="128"/>
      <c r="KRR45" s="129"/>
      <c r="KRS45" s="128"/>
      <c r="KRT45" s="129"/>
      <c r="KRU45" s="128"/>
      <c r="KRV45" s="129"/>
      <c r="KRW45" s="128"/>
      <c r="KRX45" s="129"/>
      <c r="KRY45" s="128"/>
      <c r="KRZ45" s="129"/>
      <c r="KSA45" s="128"/>
      <c r="KSB45" s="129"/>
      <c r="KSC45" s="128"/>
      <c r="KSD45" s="129"/>
      <c r="KSE45" s="128"/>
      <c r="KSF45" s="129"/>
      <c r="KSG45" s="128"/>
      <c r="KSH45" s="129"/>
      <c r="KSI45" s="128"/>
      <c r="KSJ45" s="129"/>
      <c r="KSK45" s="128"/>
      <c r="KSL45" s="129"/>
      <c r="KSM45" s="128"/>
      <c r="KSN45" s="129"/>
      <c r="KSO45" s="128"/>
      <c r="KSP45" s="129"/>
      <c r="KSQ45" s="128"/>
      <c r="KSR45" s="129"/>
      <c r="KSS45" s="128"/>
      <c r="KST45" s="129"/>
      <c r="KSU45" s="128"/>
      <c r="KSV45" s="129"/>
      <c r="KSW45" s="128"/>
      <c r="KSX45" s="129"/>
      <c r="KSY45" s="128"/>
      <c r="KSZ45" s="129"/>
      <c r="KTA45" s="128"/>
      <c r="KTB45" s="129"/>
      <c r="KTC45" s="128"/>
      <c r="KTD45" s="129"/>
      <c r="KTE45" s="128"/>
      <c r="KTF45" s="129"/>
      <c r="KTG45" s="128"/>
      <c r="KTH45" s="129"/>
      <c r="KTI45" s="128"/>
      <c r="KTJ45" s="129"/>
      <c r="KTK45" s="128"/>
      <c r="KTL45" s="129"/>
      <c r="KTM45" s="128"/>
      <c r="KTN45" s="129"/>
      <c r="KTO45" s="128"/>
      <c r="KTP45" s="129"/>
      <c r="KTQ45" s="128"/>
      <c r="KTR45" s="129"/>
      <c r="KTS45" s="128"/>
      <c r="KTT45" s="129"/>
      <c r="KTU45" s="128"/>
      <c r="KTV45" s="129"/>
      <c r="KTW45" s="128"/>
      <c r="KTX45" s="129"/>
      <c r="KTY45" s="128"/>
      <c r="KTZ45" s="129"/>
      <c r="KUA45" s="128"/>
      <c r="KUB45" s="129"/>
      <c r="KUC45" s="128"/>
      <c r="KUD45" s="129"/>
      <c r="KUE45" s="128"/>
      <c r="KUF45" s="129"/>
      <c r="KUG45" s="128"/>
      <c r="KUH45" s="129"/>
      <c r="KUI45" s="128"/>
      <c r="KUJ45" s="129"/>
      <c r="KUK45" s="128"/>
      <c r="KUL45" s="129"/>
      <c r="KUM45" s="128"/>
      <c r="KUN45" s="129"/>
      <c r="KUO45" s="128"/>
      <c r="KUP45" s="129"/>
      <c r="KUQ45" s="128"/>
      <c r="KUR45" s="129"/>
      <c r="KUS45" s="128"/>
      <c r="KUT45" s="129"/>
      <c r="KUU45" s="128"/>
      <c r="KUV45" s="129"/>
      <c r="KUW45" s="128"/>
      <c r="KUX45" s="129"/>
      <c r="KUY45" s="128"/>
      <c r="KUZ45" s="129"/>
      <c r="KVA45" s="128"/>
      <c r="KVB45" s="129"/>
      <c r="KVC45" s="128"/>
      <c r="KVD45" s="129"/>
      <c r="KVE45" s="128"/>
      <c r="KVF45" s="129"/>
      <c r="KVG45" s="128"/>
      <c r="KVH45" s="129"/>
      <c r="KVI45" s="128"/>
      <c r="KVJ45" s="129"/>
      <c r="KVK45" s="128"/>
      <c r="KVL45" s="129"/>
      <c r="KVM45" s="128"/>
      <c r="KVN45" s="129"/>
      <c r="KVO45" s="128"/>
      <c r="KVP45" s="129"/>
      <c r="KVQ45" s="128"/>
      <c r="KVR45" s="129"/>
      <c r="KVS45" s="128"/>
      <c r="KVT45" s="129"/>
      <c r="KVU45" s="128"/>
      <c r="KVV45" s="129"/>
      <c r="KVW45" s="128"/>
      <c r="KVX45" s="129"/>
      <c r="KVY45" s="128"/>
      <c r="KVZ45" s="129"/>
      <c r="KWA45" s="128"/>
      <c r="KWB45" s="129"/>
      <c r="KWC45" s="128"/>
      <c r="KWD45" s="129"/>
      <c r="KWE45" s="128"/>
      <c r="KWF45" s="129"/>
      <c r="KWG45" s="128"/>
      <c r="KWH45" s="129"/>
      <c r="KWI45" s="128"/>
      <c r="KWJ45" s="129"/>
      <c r="KWK45" s="128"/>
      <c r="KWL45" s="129"/>
      <c r="KWM45" s="128"/>
      <c r="KWN45" s="129"/>
      <c r="KWO45" s="128"/>
      <c r="KWP45" s="129"/>
      <c r="KWQ45" s="128"/>
      <c r="KWR45" s="129"/>
      <c r="KWS45" s="128"/>
      <c r="KWT45" s="129"/>
      <c r="KWU45" s="128"/>
      <c r="KWV45" s="129"/>
      <c r="KWW45" s="128"/>
      <c r="KWX45" s="129"/>
      <c r="KWY45" s="128"/>
      <c r="KWZ45" s="129"/>
      <c r="KXA45" s="128"/>
      <c r="KXB45" s="129"/>
      <c r="KXC45" s="128"/>
      <c r="KXD45" s="129"/>
      <c r="KXE45" s="128"/>
      <c r="KXF45" s="129"/>
      <c r="KXG45" s="128"/>
      <c r="KXH45" s="129"/>
      <c r="KXI45" s="128"/>
      <c r="KXJ45" s="129"/>
      <c r="KXK45" s="128"/>
      <c r="KXL45" s="129"/>
      <c r="KXM45" s="128"/>
      <c r="KXN45" s="129"/>
      <c r="KXO45" s="128"/>
      <c r="KXP45" s="129"/>
      <c r="KXQ45" s="128"/>
      <c r="KXR45" s="129"/>
      <c r="KXS45" s="128"/>
      <c r="KXT45" s="129"/>
      <c r="KXU45" s="128"/>
      <c r="KXV45" s="129"/>
      <c r="KXW45" s="128"/>
      <c r="KXX45" s="129"/>
      <c r="KXY45" s="128"/>
      <c r="KXZ45" s="129"/>
      <c r="KYA45" s="128"/>
      <c r="KYB45" s="129"/>
      <c r="KYC45" s="128"/>
      <c r="KYD45" s="129"/>
      <c r="KYE45" s="128"/>
      <c r="KYF45" s="129"/>
      <c r="KYG45" s="128"/>
      <c r="KYH45" s="129"/>
      <c r="KYI45" s="128"/>
      <c r="KYJ45" s="129"/>
      <c r="KYK45" s="128"/>
      <c r="KYL45" s="129"/>
      <c r="KYM45" s="128"/>
      <c r="KYN45" s="129"/>
      <c r="KYO45" s="128"/>
      <c r="KYP45" s="129"/>
      <c r="KYQ45" s="128"/>
      <c r="KYR45" s="129"/>
      <c r="KYS45" s="128"/>
      <c r="KYT45" s="129"/>
      <c r="KYU45" s="128"/>
      <c r="KYV45" s="129"/>
      <c r="KYW45" s="128"/>
      <c r="KYX45" s="129"/>
      <c r="KYY45" s="128"/>
      <c r="KYZ45" s="129"/>
      <c r="KZA45" s="128"/>
      <c r="KZB45" s="129"/>
      <c r="KZC45" s="128"/>
      <c r="KZD45" s="129"/>
      <c r="KZE45" s="128"/>
      <c r="KZF45" s="129"/>
      <c r="KZG45" s="128"/>
      <c r="KZH45" s="129"/>
      <c r="KZI45" s="128"/>
      <c r="KZJ45" s="129"/>
      <c r="KZK45" s="128"/>
      <c r="KZL45" s="129"/>
      <c r="KZM45" s="128"/>
      <c r="KZN45" s="129"/>
      <c r="KZO45" s="128"/>
      <c r="KZP45" s="129"/>
      <c r="KZQ45" s="128"/>
      <c r="KZR45" s="129"/>
      <c r="KZS45" s="128"/>
      <c r="KZT45" s="129"/>
      <c r="KZU45" s="128"/>
      <c r="KZV45" s="129"/>
      <c r="KZW45" s="128"/>
      <c r="KZX45" s="129"/>
      <c r="KZY45" s="128"/>
      <c r="KZZ45" s="129"/>
      <c r="LAA45" s="128"/>
      <c r="LAB45" s="129"/>
      <c r="LAC45" s="128"/>
      <c r="LAD45" s="129"/>
      <c r="LAE45" s="128"/>
      <c r="LAF45" s="129"/>
      <c r="LAG45" s="128"/>
      <c r="LAH45" s="129"/>
      <c r="LAI45" s="128"/>
      <c r="LAJ45" s="129"/>
      <c r="LAK45" s="128"/>
      <c r="LAL45" s="129"/>
      <c r="LAM45" s="128"/>
      <c r="LAN45" s="129"/>
      <c r="LAO45" s="128"/>
      <c r="LAP45" s="129"/>
      <c r="LAQ45" s="128"/>
      <c r="LAR45" s="129"/>
      <c r="LAS45" s="128"/>
      <c r="LAT45" s="129"/>
      <c r="LAU45" s="128"/>
      <c r="LAV45" s="129"/>
      <c r="LAW45" s="128"/>
      <c r="LAX45" s="129"/>
      <c r="LAY45" s="128"/>
      <c r="LAZ45" s="129"/>
      <c r="LBA45" s="128"/>
      <c r="LBB45" s="129"/>
      <c r="LBC45" s="128"/>
      <c r="LBD45" s="129"/>
      <c r="LBE45" s="128"/>
      <c r="LBF45" s="129"/>
      <c r="LBG45" s="128"/>
      <c r="LBH45" s="129"/>
      <c r="LBI45" s="128"/>
      <c r="LBJ45" s="129"/>
      <c r="LBK45" s="128"/>
      <c r="LBL45" s="129"/>
      <c r="LBM45" s="128"/>
      <c r="LBN45" s="129"/>
      <c r="LBO45" s="128"/>
      <c r="LBP45" s="129"/>
      <c r="LBQ45" s="128"/>
      <c r="LBR45" s="129"/>
      <c r="LBS45" s="128"/>
      <c r="LBT45" s="129"/>
      <c r="LBU45" s="128"/>
      <c r="LBV45" s="129"/>
      <c r="LBW45" s="128"/>
      <c r="LBX45" s="129"/>
      <c r="LBY45" s="128"/>
      <c r="LBZ45" s="129"/>
      <c r="LCA45" s="128"/>
      <c r="LCB45" s="129"/>
      <c r="LCC45" s="128"/>
      <c r="LCD45" s="129"/>
      <c r="LCE45" s="128"/>
      <c r="LCF45" s="129"/>
      <c r="LCG45" s="128"/>
      <c r="LCH45" s="129"/>
      <c r="LCI45" s="128"/>
      <c r="LCJ45" s="129"/>
      <c r="LCK45" s="128"/>
      <c r="LCL45" s="129"/>
      <c r="LCM45" s="128"/>
      <c r="LCN45" s="129"/>
      <c r="LCO45" s="128"/>
      <c r="LCP45" s="129"/>
      <c r="LCQ45" s="128"/>
      <c r="LCR45" s="129"/>
      <c r="LCS45" s="128"/>
      <c r="LCT45" s="129"/>
      <c r="LCU45" s="128"/>
      <c r="LCV45" s="129"/>
      <c r="LCW45" s="128"/>
      <c r="LCX45" s="129"/>
      <c r="LCY45" s="128"/>
      <c r="LCZ45" s="129"/>
      <c r="LDA45" s="128"/>
      <c r="LDB45" s="129"/>
      <c r="LDC45" s="128"/>
      <c r="LDD45" s="129"/>
      <c r="LDE45" s="128"/>
      <c r="LDF45" s="129"/>
      <c r="LDG45" s="128"/>
      <c r="LDH45" s="129"/>
      <c r="LDI45" s="128"/>
      <c r="LDJ45" s="129"/>
      <c r="LDK45" s="128"/>
      <c r="LDL45" s="129"/>
      <c r="LDM45" s="128"/>
      <c r="LDN45" s="129"/>
      <c r="LDO45" s="128"/>
      <c r="LDP45" s="129"/>
      <c r="LDQ45" s="128"/>
      <c r="LDR45" s="129"/>
      <c r="LDS45" s="128"/>
      <c r="LDT45" s="129"/>
      <c r="LDU45" s="128"/>
      <c r="LDV45" s="129"/>
      <c r="LDW45" s="128"/>
      <c r="LDX45" s="129"/>
      <c r="LDY45" s="128"/>
      <c r="LDZ45" s="129"/>
      <c r="LEA45" s="128"/>
      <c r="LEB45" s="129"/>
      <c r="LEC45" s="128"/>
      <c r="LED45" s="129"/>
      <c r="LEE45" s="128"/>
      <c r="LEF45" s="129"/>
      <c r="LEG45" s="128"/>
      <c r="LEH45" s="129"/>
      <c r="LEI45" s="128"/>
      <c r="LEJ45" s="129"/>
      <c r="LEK45" s="128"/>
      <c r="LEL45" s="129"/>
      <c r="LEM45" s="128"/>
      <c r="LEN45" s="129"/>
      <c r="LEO45" s="128"/>
      <c r="LEP45" s="129"/>
      <c r="LEQ45" s="128"/>
      <c r="LER45" s="129"/>
      <c r="LES45" s="128"/>
      <c r="LET45" s="129"/>
      <c r="LEU45" s="128"/>
      <c r="LEV45" s="129"/>
      <c r="LEW45" s="128"/>
      <c r="LEX45" s="129"/>
      <c r="LEY45" s="128"/>
      <c r="LEZ45" s="129"/>
      <c r="LFA45" s="128"/>
      <c r="LFB45" s="129"/>
      <c r="LFC45" s="128"/>
      <c r="LFD45" s="129"/>
      <c r="LFE45" s="128"/>
      <c r="LFF45" s="129"/>
      <c r="LFG45" s="128"/>
      <c r="LFH45" s="129"/>
      <c r="LFI45" s="128"/>
      <c r="LFJ45" s="129"/>
      <c r="LFK45" s="128"/>
      <c r="LFL45" s="129"/>
      <c r="LFM45" s="128"/>
      <c r="LFN45" s="129"/>
      <c r="LFO45" s="128"/>
      <c r="LFP45" s="129"/>
      <c r="LFQ45" s="128"/>
      <c r="LFR45" s="129"/>
      <c r="LFS45" s="128"/>
      <c r="LFT45" s="129"/>
      <c r="LFU45" s="128"/>
      <c r="LFV45" s="129"/>
      <c r="LFW45" s="128"/>
      <c r="LFX45" s="129"/>
      <c r="LFY45" s="128"/>
      <c r="LFZ45" s="129"/>
      <c r="LGA45" s="128"/>
      <c r="LGB45" s="129"/>
      <c r="LGC45" s="128"/>
      <c r="LGD45" s="129"/>
      <c r="LGE45" s="128"/>
      <c r="LGF45" s="129"/>
      <c r="LGG45" s="128"/>
      <c r="LGH45" s="129"/>
      <c r="LGI45" s="128"/>
      <c r="LGJ45" s="129"/>
      <c r="LGK45" s="128"/>
      <c r="LGL45" s="129"/>
      <c r="LGM45" s="128"/>
      <c r="LGN45" s="129"/>
      <c r="LGO45" s="128"/>
      <c r="LGP45" s="129"/>
      <c r="LGQ45" s="128"/>
      <c r="LGR45" s="129"/>
      <c r="LGS45" s="128"/>
      <c r="LGT45" s="129"/>
      <c r="LGU45" s="128"/>
      <c r="LGV45" s="129"/>
      <c r="LGW45" s="128"/>
      <c r="LGX45" s="129"/>
      <c r="LGY45" s="128"/>
      <c r="LGZ45" s="129"/>
      <c r="LHA45" s="128"/>
      <c r="LHB45" s="129"/>
      <c r="LHC45" s="128"/>
      <c r="LHD45" s="129"/>
      <c r="LHE45" s="128"/>
      <c r="LHF45" s="129"/>
      <c r="LHG45" s="128"/>
      <c r="LHH45" s="129"/>
      <c r="LHI45" s="128"/>
      <c r="LHJ45" s="129"/>
      <c r="LHK45" s="128"/>
      <c r="LHL45" s="129"/>
      <c r="LHM45" s="128"/>
      <c r="LHN45" s="129"/>
      <c r="LHO45" s="128"/>
      <c r="LHP45" s="129"/>
      <c r="LHQ45" s="128"/>
      <c r="LHR45" s="129"/>
      <c r="LHS45" s="128"/>
      <c r="LHT45" s="129"/>
      <c r="LHU45" s="128"/>
      <c r="LHV45" s="129"/>
      <c r="LHW45" s="128"/>
      <c r="LHX45" s="129"/>
      <c r="LHY45" s="128"/>
      <c r="LHZ45" s="129"/>
      <c r="LIA45" s="128"/>
      <c r="LIB45" s="129"/>
      <c r="LIC45" s="128"/>
      <c r="LID45" s="129"/>
      <c r="LIE45" s="128"/>
      <c r="LIF45" s="129"/>
      <c r="LIG45" s="128"/>
      <c r="LIH45" s="129"/>
      <c r="LII45" s="128"/>
      <c r="LIJ45" s="129"/>
      <c r="LIK45" s="128"/>
      <c r="LIL45" s="129"/>
      <c r="LIM45" s="128"/>
      <c r="LIN45" s="129"/>
      <c r="LIO45" s="128"/>
      <c r="LIP45" s="129"/>
      <c r="LIQ45" s="128"/>
      <c r="LIR45" s="129"/>
      <c r="LIS45" s="128"/>
      <c r="LIT45" s="129"/>
      <c r="LIU45" s="128"/>
      <c r="LIV45" s="129"/>
      <c r="LIW45" s="128"/>
      <c r="LIX45" s="129"/>
      <c r="LIY45" s="128"/>
      <c r="LIZ45" s="129"/>
      <c r="LJA45" s="128"/>
      <c r="LJB45" s="129"/>
      <c r="LJC45" s="128"/>
      <c r="LJD45" s="129"/>
      <c r="LJE45" s="128"/>
      <c r="LJF45" s="129"/>
      <c r="LJG45" s="128"/>
      <c r="LJH45" s="129"/>
      <c r="LJI45" s="128"/>
      <c r="LJJ45" s="129"/>
      <c r="LJK45" s="128"/>
      <c r="LJL45" s="129"/>
      <c r="LJM45" s="128"/>
      <c r="LJN45" s="129"/>
      <c r="LJO45" s="128"/>
      <c r="LJP45" s="129"/>
      <c r="LJQ45" s="128"/>
      <c r="LJR45" s="129"/>
      <c r="LJS45" s="128"/>
      <c r="LJT45" s="129"/>
      <c r="LJU45" s="128"/>
      <c r="LJV45" s="129"/>
      <c r="LJW45" s="128"/>
      <c r="LJX45" s="129"/>
      <c r="LJY45" s="128"/>
      <c r="LJZ45" s="129"/>
      <c r="LKA45" s="128"/>
      <c r="LKB45" s="129"/>
      <c r="LKC45" s="128"/>
      <c r="LKD45" s="129"/>
      <c r="LKE45" s="128"/>
      <c r="LKF45" s="129"/>
      <c r="LKG45" s="128"/>
      <c r="LKH45" s="129"/>
      <c r="LKI45" s="128"/>
      <c r="LKJ45" s="129"/>
      <c r="LKK45" s="128"/>
      <c r="LKL45" s="129"/>
      <c r="LKM45" s="128"/>
      <c r="LKN45" s="129"/>
      <c r="LKO45" s="128"/>
      <c r="LKP45" s="129"/>
      <c r="LKQ45" s="128"/>
      <c r="LKR45" s="129"/>
      <c r="LKS45" s="128"/>
      <c r="LKT45" s="129"/>
      <c r="LKU45" s="128"/>
      <c r="LKV45" s="129"/>
      <c r="LKW45" s="128"/>
      <c r="LKX45" s="129"/>
      <c r="LKY45" s="128"/>
      <c r="LKZ45" s="129"/>
      <c r="LLA45" s="128"/>
      <c r="LLB45" s="129"/>
      <c r="LLC45" s="128"/>
      <c r="LLD45" s="129"/>
      <c r="LLE45" s="128"/>
      <c r="LLF45" s="129"/>
      <c r="LLG45" s="128"/>
      <c r="LLH45" s="129"/>
      <c r="LLI45" s="128"/>
      <c r="LLJ45" s="129"/>
      <c r="LLK45" s="128"/>
      <c r="LLL45" s="129"/>
      <c r="LLM45" s="128"/>
      <c r="LLN45" s="129"/>
      <c r="LLO45" s="128"/>
      <c r="LLP45" s="129"/>
      <c r="LLQ45" s="128"/>
      <c r="LLR45" s="129"/>
      <c r="LLS45" s="128"/>
      <c r="LLT45" s="129"/>
      <c r="LLU45" s="128"/>
      <c r="LLV45" s="129"/>
      <c r="LLW45" s="128"/>
      <c r="LLX45" s="129"/>
      <c r="LLY45" s="128"/>
      <c r="LLZ45" s="129"/>
      <c r="LMA45" s="128"/>
      <c r="LMB45" s="129"/>
      <c r="LMC45" s="128"/>
      <c r="LMD45" s="129"/>
      <c r="LME45" s="128"/>
      <c r="LMF45" s="129"/>
      <c r="LMG45" s="128"/>
      <c r="LMH45" s="129"/>
      <c r="LMI45" s="128"/>
      <c r="LMJ45" s="129"/>
      <c r="LMK45" s="128"/>
      <c r="LML45" s="129"/>
      <c r="LMM45" s="128"/>
      <c r="LMN45" s="129"/>
      <c r="LMO45" s="128"/>
      <c r="LMP45" s="129"/>
      <c r="LMQ45" s="128"/>
      <c r="LMR45" s="129"/>
      <c r="LMS45" s="128"/>
      <c r="LMT45" s="129"/>
      <c r="LMU45" s="128"/>
      <c r="LMV45" s="129"/>
      <c r="LMW45" s="128"/>
      <c r="LMX45" s="129"/>
      <c r="LMY45" s="128"/>
      <c r="LMZ45" s="129"/>
      <c r="LNA45" s="128"/>
      <c r="LNB45" s="129"/>
      <c r="LNC45" s="128"/>
      <c r="LND45" s="129"/>
      <c r="LNE45" s="128"/>
      <c r="LNF45" s="129"/>
      <c r="LNG45" s="128"/>
      <c r="LNH45" s="129"/>
      <c r="LNI45" s="128"/>
      <c r="LNJ45" s="129"/>
      <c r="LNK45" s="128"/>
      <c r="LNL45" s="129"/>
      <c r="LNM45" s="128"/>
      <c r="LNN45" s="129"/>
      <c r="LNO45" s="128"/>
      <c r="LNP45" s="129"/>
      <c r="LNQ45" s="128"/>
      <c r="LNR45" s="129"/>
      <c r="LNS45" s="128"/>
      <c r="LNT45" s="129"/>
      <c r="LNU45" s="128"/>
      <c r="LNV45" s="129"/>
      <c r="LNW45" s="128"/>
      <c r="LNX45" s="129"/>
      <c r="LNY45" s="128"/>
      <c r="LNZ45" s="129"/>
      <c r="LOA45" s="128"/>
      <c r="LOB45" s="129"/>
      <c r="LOC45" s="128"/>
      <c r="LOD45" s="129"/>
      <c r="LOE45" s="128"/>
      <c r="LOF45" s="129"/>
      <c r="LOG45" s="128"/>
      <c r="LOH45" s="129"/>
      <c r="LOI45" s="128"/>
      <c r="LOJ45" s="129"/>
      <c r="LOK45" s="128"/>
      <c r="LOL45" s="129"/>
      <c r="LOM45" s="128"/>
      <c r="LON45" s="129"/>
      <c r="LOO45" s="128"/>
      <c r="LOP45" s="129"/>
      <c r="LOQ45" s="128"/>
      <c r="LOR45" s="129"/>
      <c r="LOS45" s="128"/>
      <c r="LOT45" s="129"/>
      <c r="LOU45" s="128"/>
      <c r="LOV45" s="129"/>
      <c r="LOW45" s="128"/>
      <c r="LOX45" s="129"/>
      <c r="LOY45" s="128"/>
      <c r="LOZ45" s="129"/>
      <c r="LPA45" s="128"/>
      <c r="LPB45" s="129"/>
      <c r="LPC45" s="128"/>
      <c r="LPD45" s="129"/>
      <c r="LPE45" s="128"/>
      <c r="LPF45" s="129"/>
      <c r="LPG45" s="128"/>
      <c r="LPH45" s="129"/>
      <c r="LPI45" s="128"/>
      <c r="LPJ45" s="129"/>
      <c r="LPK45" s="128"/>
      <c r="LPL45" s="129"/>
      <c r="LPM45" s="128"/>
      <c r="LPN45" s="129"/>
      <c r="LPO45" s="128"/>
      <c r="LPP45" s="129"/>
      <c r="LPQ45" s="128"/>
      <c r="LPR45" s="129"/>
      <c r="LPS45" s="128"/>
      <c r="LPT45" s="129"/>
      <c r="LPU45" s="128"/>
      <c r="LPV45" s="129"/>
      <c r="LPW45" s="128"/>
      <c r="LPX45" s="129"/>
      <c r="LPY45" s="128"/>
      <c r="LPZ45" s="129"/>
      <c r="LQA45" s="128"/>
      <c r="LQB45" s="129"/>
      <c r="LQC45" s="128"/>
      <c r="LQD45" s="129"/>
      <c r="LQE45" s="128"/>
      <c r="LQF45" s="129"/>
      <c r="LQG45" s="128"/>
      <c r="LQH45" s="129"/>
      <c r="LQI45" s="128"/>
      <c r="LQJ45" s="129"/>
      <c r="LQK45" s="128"/>
      <c r="LQL45" s="129"/>
      <c r="LQM45" s="128"/>
      <c r="LQN45" s="129"/>
      <c r="LQO45" s="128"/>
      <c r="LQP45" s="129"/>
      <c r="LQQ45" s="128"/>
      <c r="LQR45" s="129"/>
      <c r="LQS45" s="128"/>
      <c r="LQT45" s="129"/>
      <c r="LQU45" s="128"/>
      <c r="LQV45" s="129"/>
      <c r="LQW45" s="128"/>
      <c r="LQX45" s="129"/>
      <c r="LQY45" s="128"/>
      <c r="LQZ45" s="129"/>
      <c r="LRA45" s="128"/>
      <c r="LRB45" s="129"/>
      <c r="LRC45" s="128"/>
      <c r="LRD45" s="129"/>
      <c r="LRE45" s="128"/>
      <c r="LRF45" s="129"/>
      <c r="LRG45" s="128"/>
      <c r="LRH45" s="129"/>
      <c r="LRI45" s="128"/>
      <c r="LRJ45" s="129"/>
      <c r="LRK45" s="128"/>
      <c r="LRL45" s="129"/>
      <c r="LRM45" s="128"/>
      <c r="LRN45" s="129"/>
      <c r="LRO45" s="128"/>
      <c r="LRP45" s="129"/>
      <c r="LRQ45" s="128"/>
      <c r="LRR45" s="129"/>
      <c r="LRS45" s="128"/>
      <c r="LRT45" s="129"/>
      <c r="LRU45" s="128"/>
      <c r="LRV45" s="129"/>
      <c r="LRW45" s="128"/>
      <c r="LRX45" s="129"/>
      <c r="LRY45" s="128"/>
      <c r="LRZ45" s="129"/>
      <c r="LSA45" s="128"/>
      <c r="LSB45" s="129"/>
      <c r="LSC45" s="128"/>
      <c r="LSD45" s="129"/>
      <c r="LSE45" s="128"/>
      <c r="LSF45" s="129"/>
      <c r="LSG45" s="128"/>
      <c r="LSH45" s="129"/>
      <c r="LSI45" s="128"/>
      <c r="LSJ45" s="129"/>
      <c r="LSK45" s="128"/>
      <c r="LSL45" s="129"/>
      <c r="LSM45" s="128"/>
      <c r="LSN45" s="129"/>
      <c r="LSO45" s="128"/>
      <c r="LSP45" s="129"/>
      <c r="LSQ45" s="128"/>
      <c r="LSR45" s="129"/>
      <c r="LSS45" s="128"/>
      <c r="LST45" s="129"/>
      <c r="LSU45" s="128"/>
      <c r="LSV45" s="129"/>
      <c r="LSW45" s="128"/>
      <c r="LSX45" s="129"/>
      <c r="LSY45" s="128"/>
      <c r="LSZ45" s="129"/>
      <c r="LTA45" s="128"/>
      <c r="LTB45" s="129"/>
      <c r="LTC45" s="128"/>
      <c r="LTD45" s="129"/>
      <c r="LTE45" s="128"/>
      <c r="LTF45" s="129"/>
      <c r="LTG45" s="128"/>
      <c r="LTH45" s="129"/>
      <c r="LTI45" s="128"/>
      <c r="LTJ45" s="129"/>
      <c r="LTK45" s="128"/>
      <c r="LTL45" s="129"/>
      <c r="LTM45" s="128"/>
      <c r="LTN45" s="129"/>
      <c r="LTO45" s="128"/>
      <c r="LTP45" s="129"/>
      <c r="LTQ45" s="128"/>
      <c r="LTR45" s="129"/>
      <c r="LTS45" s="128"/>
      <c r="LTT45" s="129"/>
      <c r="LTU45" s="128"/>
      <c r="LTV45" s="129"/>
      <c r="LTW45" s="128"/>
      <c r="LTX45" s="129"/>
      <c r="LTY45" s="128"/>
      <c r="LTZ45" s="129"/>
      <c r="LUA45" s="128"/>
      <c r="LUB45" s="129"/>
      <c r="LUC45" s="128"/>
      <c r="LUD45" s="129"/>
      <c r="LUE45" s="128"/>
      <c r="LUF45" s="129"/>
      <c r="LUG45" s="128"/>
      <c r="LUH45" s="129"/>
      <c r="LUI45" s="128"/>
      <c r="LUJ45" s="129"/>
      <c r="LUK45" s="128"/>
      <c r="LUL45" s="129"/>
      <c r="LUM45" s="128"/>
      <c r="LUN45" s="129"/>
      <c r="LUO45" s="128"/>
      <c r="LUP45" s="129"/>
      <c r="LUQ45" s="128"/>
      <c r="LUR45" s="129"/>
      <c r="LUS45" s="128"/>
      <c r="LUT45" s="129"/>
      <c r="LUU45" s="128"/>
      <c r="LUV45" s="129"/>
      <c r="LUW45" s="128"/>
      <c r="LUX45" s="129"/>
      <c r="LUY45" s="128"/>
      <c r="LUZ45" s="129"/>
      <c r="LVA45" s="128"/>
      <c r="LVB45" s="129"/>
      <c r="LVC45" s="128"/>
      <c r="LVD45" s="129"/>
      <c r="LVE45" s="128"/>
      <c r="LVF45" s="129"/>
      <c r="LVG45" s="128"/>
      <c r="LVH45" s="129"/>
      <c r="LVI45" s="128"/>
      <c r="LVJ45" s="129"/>
      <c r="LVK45" s="128"/>
      <c r="LVL45" s="129"/>
      <c r="LVM45" s="128"/>
      <c r="LVN45" s="129"/>
      <c r="LVO45" s="128"/>
      <c r="LVP45" s="129"/>
      <c r="LVQ45" s="128"/>
      <c r="LVR45" s="129"/>
      <c r="LVS45" s="128"/>
      <c r="LVT45" s="129"/>
      <c r="LVU45" s="128"/>
      <c r="LVV45" s="129"/>
      <c r="LVW45" s="128"/>
      <c r="LVX45" s="129"/>
      <c r="LVY45" s="128"/>
      <c r="LVZ45" s="129"/>
      <c r="LWA45" s="128"/>
      <c r="LWB45" s="129"/>
      <c r="LWC45" s="128"/>
      <c r="LWD45" s="129"/>
      <c r="LWE45" s="128"/>
      <c r="LWF45" s="129"/>
      <c r="LWG45" s="128"/>
      <c r="LWH45" s="129"/>
      <c r="LWI45" s="128"/>
      <c r="LWJ45" s="129"/>
      <c r="LWK45" s="128"/>
      <c r="LWL45" s="129"/>
      <c r="LWM45" s="128"/>
      <c r="LWN45" s="129"/>
      <c r="LWO45" s="128"/>
      <c r="LWP45" s="129"/>
      <c r="LWQ45" s="128"/>
      <c r="LWR45" s="129"/>
      <c r="LWS45" s="128"/>
      <c r="LWT45" s="129"/>
      <c r="LWU45" s="128"/>
      <c r="LWV45" s="129"/>
      <c r="LWW45" s="128"/>
      <c r="LWX45" s="129"/>
      <c r="LWY45" s="128"/>
      <c r="LWZ45" s="129"/>
      <c r="LXA45" s="128"/>
      <c r="LXB45" s="129"/>
      <c r="LXC45" s="128"/>
      <c r="LXD45" s="129"/>
      <c r="LXE45" s="128"/>
      <c r="LXF45" s="129"/>
      <c r="LXG45" s="128"/>
      <c r="LXH45" s="129"/>
      <c r="LXI45" s="128"/>
      <c r="LXJ45" s="129"/>
      <c r="LXK45" s="128"/>
      <c r="LXL45" s="129"/>
      <c r="LXM45" s="128"/>
      <c r="LXN45" s="129"/>
      <c r="LXO45" s="128"/>
      <c r="LXP45" s="129"/>
      <c r="LXQ45" s="128"/>
      <c r="LXR45" s="129"/>
      <c r="LXS45" s="128"/>
      <c r="LXT45" s="129"/>
      <c r="LXU45" s="128"/>
      <c r="LXV45" s="129"/>
      <c r="LXW45" s="128"/>
      <c r="LXX45" s="129"/>
      <c r="LXY45" s="128"/>
      <c r="LXZ45" s="129"/>
      <c r="LYA45" s="128"/>
      <c r="LYB45" s="129"/>
      <c r="LYC45" s="128"/>
      <c r="LYD45" s="129"/>
      <c r="LYE45" s="128"/>
      <c r="LYF45" s="129"/>
      <c r="LYG45" s="128"/>
      <c r="LYH45" s="129"/>
      <c r="LYI45" s="128"/>
      <c r="LYJ45" s="129"/>
      <c r="LYK45" s="128"/>
      <c r="LYL45" s="129"/>
      <c r="LYM45" s="128"/>
      <c r="LYN45" s="129"/>
      <c r="LYO45" s="128"/>
      <c r="LYP45" s="129"/>
      <c r="LYQ45" s="128"/>
      <c r="LYR45" s="129"/>
      <c r="LYS45" s="128"/>
      <c r="LYT45" s="129"/>
      <c r="LYU45" s="128"/>
      <c r="LYV45" s="129"/>
      <c r="LYW45" s="128"/>
      <c r="LYX45" s="129"/>
      <c r="LYY45" s="128"/>
      <c r="LYZ45" s="129"/>
      <c r="LZA45" s="128"/>
      <c r="LZB45" s="129"/>
      <c r="LZC45" s="128"/>
      <c r="LZD45" s="129"/>
      <c r="LZE45" s="128"/>
      <c r="LZF45" s="129"/>
      <c r="LZG45" s="128"/>
      <c r="LZH45" s="129"/>
      <c r="LZI45" s="128"/>
      <c r="LZJ45" s="129"/>
      <c r="LZK45" s="128"/>
      <c r="LZL45" s="129"/>
      <c r="LZM45" s="128"/>
      <c r="LZN45" s="129"/>
      <c r="LZO45" s="128"/>
      <c r="LZP45" s="129"/>
      <c r="LZQ45" s="128"/>
      <c r="LZR45" s="129"/>
      <c r="LZS45" s="128"/>
      <c r="LZT45" s="129"/>
      <c r="LZU45" s="128"/>
      <c r="LZV45" s="129"/>
      <c r="LZW45" s="128"/>
      <c r="LZX45" s="129"/>
      <c r="LZY45" s="128"/>
      <c r="LZZ45" s="129"/>
      <c r="MAA45" s="128"/>
      <c r="MAB45" s="129"/>
      <c r="MAC45" s="128"/>
      <c r="MAD45" s="129"/>
      <c r="MAE45" s="128"/>
      <c r="MAF45" s="129"/>
      <c r="MAG45" s="128"/>
      <c r="MAH45" s="129"/>
      <c r="MAI45" s="128"/>
      <c r="MAJ45" s="129"/>
      <c r="MAK45" s="128"/>
      <c r="MAL45" s="129"/>
      <c r="MAM45" s="128"/>
      <c r="MAN45" s="129"/>
      <c r="MAO45" s="128"/>
      <c r="MAP45" s="129"/>
      <c r="MAQ45" s="128"/>
      <c r="MAR45" s="129"/>
      <c r="MAS45" s="128"/>
      <c r="MAT45" s="129"/>
      <c r="MAU45" s="128"/>
      <c r="MAV45" s="129"/>
      <c r="MAW45" s="128"/>
      <c r="MAX45" s="129"/>
      <c r="MAY45" s="128"/>
      <c r="MAZ45" s="129"/>
      <c r="MBA45" s="128"/>
      <c r="MBB45" s="129"/>
      <c r="MBC45" s="128"/>
      <c r="MBD45" s="129"/>
      <c r="MBE45" s="128"/>
      <c r="MBF45" s="129"/>
      <c r="MBG45" s="128"/>
      <c r="MBH45" s="129"/>
      <c r="MBI45" s="128"/>
      <c r="MBJ45" s="129"/>
      <c r="MBK45" s="128"/>
      <c r="MBL45" s="129"/>
      <c r="MBM45" s="128"/>
      <c r="MBN45" s="129"/>
      <c r="MBO45" s="128"/>
      <c r="MBP45" s="129"/>
      <c r="MBQ45" s="128"/>
      <c r="MBR45" s="129"/>
      <c r="MBS45" s="128"/>
      <c r="MBT45" s="129"/>
      <c r="MBU45" s="128"/>
      <c r="MBV45" s="129"/>
      <c r="MBW45" s="128"/>
      <c r="MBX45" s="129"/>
      <c r="MBY45" s="128"/>
      <c r="MBZ45" s="129"/>
      <c r="MCA45" s="128"/>
      <c r="MCB45" s="129"/>
      <c r="MCC45" s="128"/>
      <c r="MCD45" s="129"/>
      <c r="MCE45" s="128"/>
      <c r="MCF45" s="129"/>
      <c r="MCG45" s="128"/>
      <c r="MCH45" s="129"/>
      <c r="MCI45" s="128"/>
      <c r="MCJ45" s="129"/>
      <c r="MCK45" s="128"/>
      <c r="MCL45" s="129"/>
      <c r="MCM45" s="128"/>
      <c r="MCN45" s="129"/>
      <c r="MCO45" s="128"/>
      <c r="MCP45" s="129"/>
      <c r="MCQ45" s="128"/>
      <c r="MCR45" s="129"/>
      <c r="MCS45" s="128"/>
      <c r="MCT45" s="129"/>
      <c r="MCU45" s="128"/>
      <c r="MCV45" s="129"/>
      <c r="MCW45" s="128"/>
      <c r="MCX45" s="129"/>
      <c r="MCY45" s="128"/>
      <c r="MCZ45" s="129"/>
      <c r="MDA45" s="128"/>
      <c r="MDB45" s="129"/>
      <c r="MDC45" s="128"/>
      <c r="MDD45" s="129"/>
      <c r="MDE45" s="128"/>
      <c r="MDF45" s="129"/>
      <c r="MDG45" s="128"/>
      <c r="MDH45" s="129"/>
      <c r="MDI45" s="128"/>
      <c r="MDJ45" s="129"/>
      <c r="MDK45" s="128"/>
      <c r="MDL45" s="129"/>
      <c r="MDM45" s="128"/>
      <c r="MDN45" s="129"/>
      <c r="MDO45" s="128"/>
      <c r="MDP45" s="129"/>
      <c r="MDQ45" s="128"/>
      <c r="MDR45" s="129"/>
      <c r="MDS45" s="128"/>
      <c r="MDT45" s="129"/>
      <c r="MDU45" s="128"/>
      <c r="MDV45" s="129"/>
      <c r="MDW45" s="128"/>
      <c r="MDX45" s="129"/>
      <c r="MDY45" s="128"/>
      <c r="MDZ45" s="129"/>
      <c r="MEA45" s="128"/>
      <c r="MEB45" s="129"/>
      <c r="MEC45" s="128"/>
      <c r="MED45" s="129"/>
      <c r="MEE45" s="128"/>
      <c r="MEF45" s="129"/>
      <c r="MEG45" s="128"/>
      <c r="MEH45" s="129"/>
      <c r="MEI45" s="128"/>
      <c r="MEJ45" s="129"/>
      <c r="MEK45" s="128"/>
      <c r="MEL45" s="129"/>
      <c r="MEM45" s="128"/>
      <c r="MEN45" s="129"/>
      <c r="MEO45" s="128"/>
      <c r="MEP45" s="129"/>
      <c r="MEQ45" s="128"/>
      <c r="MER45" s="129"/>
      <c r="MES45" s="128"/>
      <c r="MET45" s="129"/>
      <c r="MEU45" s="128"/>
      <c r="MEV45" s="129"/>
      <c r="MEW45" s="128"/>
      <c r="MEX45" s="129"/>
      <c r="MEY45" s="128"/>
      <c r="MEZ45" s="129"/>
      <c r="MFA45" s="128"/>
      <c r="MFB45" s="129"/>
      <c r="MFC45" s="128"/>
      <c r="MFD45" s="129"/>
      <c r="MFE45" s="128"/>
      <c r="MFF45" s="129"/>
      <c r="MFG45" s="128"/>
      <c r="MFH45" s="129"/>
      <c r="MFI45" s="128"/>
      <c r="MFJ45" s="129"/>
      <c r="MFK45" s="128"/>
      <c r="MFL45" s="129"/>
      <c r="MFM45" s="128"/>
      <c r="MFN45" s="129"/>
      <c r="MFO45" s="128"/>
      <c r="MFP45" s="129"/>
      <c r="MFQ45" s="128"/>
      <c r="MFR45" s="129"/>
      <c r="MFS45" s="128"/>
      <c r="MFT45" s="129"/>
      <c r="MFU45" s="128"/>
      <c r="MFV45" s="129"/>
      <c r="MFW45" s="128"/>
      <c r="MFX45" s="129"/>
      <c r="MFY45" s="128"/>
      <c r="MFZ45" s="129"/>
      <c r="MGA45" s="128"/>
      <c r="MGB45" s="129"/>
      <c r="MGC45" s="128"/>
      <c r="MGD45" s="129"/>
      <c r="MGE45" s="128"/>
      <c r="MGF45" s="129"/>
      <c r="MGG45" s="128"/>
      <c r="MGH45" s="129"/>
      <c r="MGI45" s="128"/>
      <c r="MGJ45" s="129"/>
      <c r="MGK45" s="128"/>
      <c r="MGL45" s="129"/>
      <c r="MGM45" s="128"/>
      <c r="MGN45" s="129"/>
      <c r="MGO45" s="128"/>
      <c r="MGP45" s="129"/>
      <c r="MGQ45" s="128"/>
      <c r="MGR45" s="129"/>
      <c r="MGS45" s="128"/>
      <c r="MGT45" s="129"/>
      <c r="MGU45" s="128"/>
      <c r="MGV45" s="129"/>
      <c r="MGW45" s="128"/>
      <c r="MGX45" s="129"/>
      <c r="MGY45" s="128"/>
      <c r="MGZ45" s="129"/>
      <c r="MHA45" s="128"/>
      <c r="MHB45" s="129"/>
      <c r="MHC45" s="128"/>
      <c r="MHD45" s="129"/>
      <c r="MHE45" s="128"/>
      <c r="MHF45" s="129"/>
      <c r="MHG45" s="128"/>
      <c r="MHH45" s="129"/>
      <c r="MHI45" s="128"/>
      <c r="MHJ45" s="129"/>
      <c r="MHK45" s="128"/>
      <c r="MHL45" s="129"/>
      <c r="MHM45" s="128"/>
      <c r="MHN45" s="129"/>
      <c r="MHO45" s="128"/>
      <c r="MHP45" s="129"/>
      <c r="MHQ45" s="128"/>
      <c r="MHR45" s="129"/>
      <c r="MHS45" s="128"/>
      <c r="MHT45" s="129"/>
      <c r="MHU45" s="128"/>
      <c r="MHV45" s="129"/>
      <c r="MHW45" s="128"/>
      <c r="MHX45" s="129"/>
      <c r="MHY45" s="128"/>
      <c r="MHZ45" s="129"/>
      <c r="MIA45" s="128"/>
      <c r="MIB45" s="129"/>
      <c r="MIC45" s="128"/>
      <c r="MID45" s="129"/>
      <c r="MIE45" s="128"/>
      <c r="MIF45" s="129"/>
      <c r="MIG45" s="128"/>
      <c r="MIH45" s="129"/>
      <c r="MII45" s="128"/>
      <c r="MIJ45" s="129"/>
      <c r="MIK45" s="128"/>
      <c r="MIL45" s="129"/>
      <c r="MIM45" s="128"/>
      <c r="MIN45" s="129"/>
      <c r="MIO45" s="128"/>
      <c r="MIP45" s="129"/>
      <c r="MIQ45" s="128"/>
      <c r="MIR45" s="129"/>
      <c r="MIS45" s="128"/>
      <c r="MIT45" s="129"/>
      <c r="MIU45" s="128"/>
      <c r="MIV45" s="129"/>
      <c r="MIW45" s="128"/>
      <c r="MIX45" s="129"/>
      <c r="MIY45" s="128"/>
      <c r="MIZ45" s="129"/>
      <c r="MJA45" s="128"/>
      <c r="MJB45" s="129"/>
      <c r="MJC45" s="128"/>
      <c r="MJD45" s="129"/>
      <c r="MJE45" s="128"/>
      <c r="MJF45" s="129"/>
      <c r="MJG45" s="128"/>
      <c r="MJH45" s="129"/>
      <c r="MJI45" s="128"/>
      <c r="MJJ45" s="129"/>
      <c r="MJK45" s="128"/>
      <c r="MJL45" s="129"/>
      <c r="MJM45" s="128"/>
      <c r="MJN45" s="129"/>
      <c r="MJO45" s="128"/>
      <c r="MJP45" s="129"/>
      <c r="MJQ45" s="128"/>
      <c r="MJR45" s="129"/>
      <c r="MJS45" s="128"/>
      <c r="MJT45" s="129"/>
      <c r="MJU45" s="128"/>
      <c r="MJV45" s="129"/>
      <c r="MJW45" s="128"/>
      <c r="MJX45" s="129"/>
      <c r="MJY45" s="128"/>
      <c r="MJZ45" s="129"/>
      <c r="MKA45" s="128"/>
      <c r="MKB45" s="129"/>
      <c r="MKC45" s="128"/>
      <c r="MKD45" s="129"/>
      <c r="MKE45" s="128"/>
      <c r="MKF45" s="129"/>
      <c r="MKG45" s="128"/>
      <c r="MKH45" s="129"/>
      <c r="MKI45" s="128"/>
      <c r="MKJ45" s="129"/>
      <c r="MKK45" s="128"/>
      <c r="MKL45" s="129"/>
      <c r="MKM45" s="128"/>
      <c r="MKN45" s="129"/>
      <c r="MKO45" s="128"/>
      <c r="MKP45" s="129"/>
      <c r="MKQ45" s="128"/>
      <c r="MKR45" s="129"/>
      <c r="MKS45" s="128"/>
      <c r="MKT45" s="129"/>
      <c r="MKU45" s="128"/>
      <c r="MKV45" s="129"/>
      <c r="MKW45" s="128"/>
      <c r="MKX45" s="129"/>
      <c r="MKY45" s="128"/>
      <c r="MKZ45" s="129"/>
      <c r="MLA45" s="128"/>
      <c r="MLB45" s="129"/>
      <c r="MLC45" s="128"/>
      <c r="MLD45" s="129"/>
      <c r="MLE45" s="128"/>
      <c r="MLF45" s="129"/>
      <c r="MLG45" s="128"/>
      <c r="MLH45" s="129"/>
      <c r="MLI45" s="128"/>
      <c r="MLJ45" s="129"/>
      <c r="MLK45" s="128"/>
      <c r="MLL45" s="129"/>
      <c r="MLM45" s="128"/>
      <c r="MLN45" s="129"/>
      <c r="MLO45" s="128"/>
      <c r="MLP45" s="129"/>
      <c r="MLQ45" s="128"/>
      <c r="MLR45" s="129"/>
      <c r="MLS45" s="128"/>
      <c r="MLT45" s="129"/>
      <c r="MLU45" s="128"/>
      <c r="MLV45" s="129"/>
      <c r="MLW45" s="128"/>
      <c r="MLX45" s="129"/>
      <c r="MLY45" s="128"/>
      <c r="MLZ45" s="129"/>
      <c r="MMA45" s="128"/>
      <c r="MMB45" s="129"/>
      <c r="MMC45" s="128"/>
      <c r="MMD45" s="129"/>
      <c r="MME45" s="128"/>
      <c r="MMF45" s="129"/>
      <c r="MMG45" s="128"/>
      <c r="MMH45" s="129"/>
      <c r="MMI45" s="128"/>
      <c r="MMJ45" s="129"/>
      <c r="MMK45" s="128"/>
      <c r="MML45" s="129"/>
      <c r="MMM45" s="128"/>
      <c r="MMN45" s="129"/>
      <c r="MMO45" s="128"/>
      <c r="MMP45" s="129"/>
      <c r="MMQ45" s="128"/>
      <c r="MMR45" s="129"/>
      <c r="MMS45" s="128"/>
      <c r="MMT45" s="129"/>
      <c r="MMU45" s="128"/>
      <c r="MMV45" s="129"/>
      <c r="MMW45" s="128"/>
      <c r="MMX45" s="129"/>
      <c r="MMY45" s="128"/>
      <c r="MMZ45" s="129"/>
      <c r="MNA45" s="128"/>
      <c r="MNB45" s="129"/>
      <c r="MNC45" s="128"/>
      <c r="MND45" s="129"/>
      <c r="MNE45" s="128"/>
      <c r="MNF45" s="129"/>
      <c r="MNG45" s="128"/>
      <c r="MNH45" s="129"/>
      <c r="MNI45" s="128"/>
      <c r="MNJ45" s="129"/>
      <c r="MNK45" s="128"/>
      <c r="MNL45" s="129"/>
      <c r="MNM45" s="128"/>
      <c r="MNN45" s="129"/>
      <c r="MNO45" s="128"/>
      <c r="MNP45" s="129"/>
      <c r="MNQ45" s="128"/>
      <c r="MNR45" s="129"/>
      <c r="MNS45" s="128"/>
      <c r="MNT45" s="129"/>
      <c r="MNU45" s="128"/>
      <c r="MNV45" s="129"/>
      <c r="MNW45" s="128"/>
      <c r="MNX45" s="129"/>
      <c r="MNY45" s="128"/>
      <c r="MNZ45" s="129"/>
      <c r="MOA45" s="128"/>
      <c r="MOB45" s="129"/>
      <c r="MOC45" s="128"/>
      <c r="MOD45" s="129"/>
      <c r="MOE45" s="128"/>
      <c r="MOF45" s="129"/>
      <c r="MOG45" s="128"/>
      <c r="MOH45" s="129"/>
      <c r="MOI45" s="128"/>
      <c r="MOJ45" s="129"/>
      <c r="MOK45" s="128"/>
      <c r="MOL45" s="129"/>
      <c r="MOM45" s="128"/>
      <c r="MON45" s="129"/>
      <c r="MOO45" s="128"/>
      <c r="MOP45" s="129"/>
      <c r="MOQ45" s="128"/>
      <c r="MOR45" s="129"/>
      <c r="MOS45" s="128"/>
      <c r="MOT45" s="129"/>
      <c r="MOU45" s="128"/>
      <c r="MOV45" s="129"/>
      <c r="MOW45" s="128"/>
      <c r="MOX45" s="129"/>
      <c r="MOY45" s="128"/>
      <c r="MOZ45" s="129"/>
      <c r="MPA45" s="128"/>
      <c r="MPB45" s="129"/>
      <c r="MPC45" s="128"/>
      <c r="MPD45" s="129"/>
      <c r="MPE45" s="128"/>
      <c r="MPF45" s="129"/>
      <c r="MPG45" s="128"/>
      <c r="MPH45" s="129"/>
      <c r="MPI45" s="128"/>
      <c r="MPJ45" s="129"/>
      <c r="MPK45" s="128"/>
      <c r="MPL45" s="129"/>
      <c r="MPM45" s="128"/>
      <c r="MPN45" s="129"/>
      <c r="MPO45" s="128"/>
      <c r="MPP45" s="129"/>
      <c r="MPQ45" s="128"/>
      <c r="MPR45" s="129"/>
      <c r="MPS45" s="128"/>
      <c r="MPT45" s="129"/>
      <c r="MPU45" s="128"/>
      <c r="MPV45" s="129"/>
      <c r="MPW45" s="128"/>
      <c r="MPX45" s="129"/>
      <c r="MPY45" s="128"/>
      <c r="MPZ45" s="129"/>
      <c r="MQA45" s="128"/>
      <c r="MQB45" s="129"/>
      <c r="MQC45" s="128"/>
      <c r="MQD45" s="129"/>
      <c r="MQE45" s="128"/>
      <c r="MQF45" s="129"/>
      <c r="MQG45" s="128"/>
      <c r="MQH45" s="129"/>
      <c r="MQI45" s="128"/>
      <c r="MQJ45" s="129"/>
      <c r="MQK45" s="128"/>
      <c r="MQL45" s="129"/>
      <c r="MQM45" s="128"/>
      <c r="MQN45" s="129"/>
      <c r="MQO45" s="128"/>
      <c r="MQP45" s="129"/>
      <c r="MQQ45" s="128"/>
      <c r="MQR45" s="129"/>
      <c r="MQS45" s="128"/>
      <c r="MQT45" s="129"/>
      <c r="MQU45" s="128"/>
      <c r="MQV45" s="129"/>
      <c r="MQW45" s="128"/>
      <c r="MQX45" s="129"/>
      <c r="MQY45" s="128"/>
      <c r="MQZ45" s="129"/>
      <c r="MRA45" s="128"/>
      <c r="MRB45" s="129"/>
      <c r="MRC45" s="128"/>
      <c r="MRD45" s="129"/>
      <c r="MRE45" s="128"/>
      <c r="MRF45" s="129"/>
      <c r="MRG45" s="128"/>
      <c r="MRH45" s="129"/>
      <c r="MRI45" s="128"/>
      <c r="MRJ45" s="129"/>
      <c r="MRK45" s="128"/>
      <c r="MRL45" s="129"/>
      <c r="MRM45" s="128"/>
      <c r="MRN45" s="129"/>
      <c r="MRO45" s="128"/>
      <c r="MRP45" s="129"/>
      <c r="MRQ45" s="128"/>
      <c r="MRR45" s="129"/>
      <c r="MRS45" s="128"/>
      <c r="MRT45" s="129"/>
      <c r="MRU45" s="128"/>
      <c r="MRV45" s="129"/>
      <c r="MRW45" s="128"/>
      <c r="MRX45" s="129"/>
      <c r="MRY45" s="128"/>
      <c r="MRZ45" s="129"/>
      <c r="MSA45" s="128"/>
      <c r="MSB45" s="129"/>
      <c r="MSC45" s="128"/>
      <c r="MSD45" s="129"/>
      <c r="MSE45" s="128"/>
      <c r="MSF45" s="129"/>
      <c r="MSG45" s="128"/>
      <c r="MSH45" s="129"/>
      <c r="MSI45" s="128"/>
      <c r="MSJ45" s="129"/>
      <c r="MSK45" s="128"/>
      <c r="MSL45" s="129"/>
      <c r="MSM45" s="128"/>
      <c r="MSN45" s="129"/>
      <c r="MSO45" s="128"/>
      <c r="MSP45" s="129"/>
      <c r="MSQ45" s="128"/>
      <c r="MSR45" s="129"/>
      <c r="MSS45" s="128"/>
      <c r="MST45" s="129"/>
      <c r="MSU45" s="128"/>
      <c r="MSV45" s="129"/>
      <c r="MSW45" s="128"/>
      <c r="MSX45" s="129"/>
      <c r="MSY45" s="128"/>
      <c r="MSZ45" s="129"/>
      <c r="MTA45" s="128"/>
      <c r="MTB45" s="129"/>
      <c r="MTC45" s="128"/>
      <c r="MTD45" s="129"/>
      <c r="MTE45" s="128"/>
      <c r="MTF45" s="129"/>
      <c r="MTG45" s="128"/>
      <c r="MTH45" s="129"/>
      <c r="MTI45" s="128"/>
      <c r="MTJ45" s="129"/>
      <c r="MTK45" s="128"/>
      <c r="MTL45" s="129"/>
      <c r="MTM45" s="128"/>
      <c r="MTN45" s="129"/>
      <c r="MTO45" s="128"/>
      <c r="MTP45" s="129"/>
      <c r="MTQ45" s="128"/>
      <c r="MTR45" s="129"/>
      <c r="MTS45" s="128"/>
      <c r="MTT45" s="129"/>
      <c r="MTU45" s="128"/>
      <c r="MTV45" s="129"/>
      <c r="MTW45" s="128"/>
      <c r="MTX45" s="129"/>
      <c r="MTY45" s="128"/>
      <c r="MTZ45" s="129"/>
      <c r="MUA45" s="128"/>
      <c r="MUB45" s="129"/>
      <c r="MUC45" s="128"/>
      <c r="MUD45" s="129"/>
      <c r="MUE45" s="128"/>
      <c r="MUF45" s="129"/>
      <c r="MUG45" s="128"/>
      <c r="MUH45" s="129"/>
      <c r="MUI45" s="128"/>
      <c r="MUJ45" s="129"/>
      <c r="MUK45" s="128"/>
      <c r="MUL45" s="129"/>
      <c r="MUM45" s="128"/>
      <c r="MUN45" s="129"/>
      <c r="MUO45" s="128"/>
      <c r="MUP45" s="129"/>
      <c r="MUQ45" s="128"/>
      <c r="MUR45" s="129"/>
      <c r="MUS45" s="128"/>
      <c r="MUT45" s="129"/>
      <c r="MUU45" s="128"/>
      <c r="MUV45" s="129"/>
      <c r="MUW45" s="128"/>
      <c r="MUX45" s="129"/>
      <c r="MUY45" s="128"/>
      <c r="MUZ45" s="129"/>
      <c r="MVA45" s="128"/>
      <c r="MVB45" s="129"/>
      <c r="MVC45" s="128"/>
      <c r="MVD45" s="129"/>
      <c r="MVE45" s="128"/>
      <c r="MVF45" s="129"/>
      <c r="MVG45" s="128"/>
      <c r="MVH45" s="129"/>
      <c r="MVI45" s="128"/>
      <c r="MVJ45" s="129"/>
      <c r="MVK45" s="128"/>
      <c r="MVL45" s="129"/>
      <c r="MVM45" s="128"/>
      <c r="MVN45" s="129"/>
      <c r="MVO45" s="128"/>
      <c r="MVP45" s="129"/>
      <c r="MVQ45" s="128"/>
      <c r="MVR45" s="129"/>
      <c r="MVS45" s="128"/>
      <c r="MVT45" s="129"/>
      <c r="MVU45" s="128"/>
      <c r="MVV45" s="129"/>
      <c r="MVW45" s="128"/>
      <c r="MVX45" s="129"/>
      <c r="MVY45" s="128"/>
      <c r="MVZ45" s="129"/>
      <c r="MWA45" s="128"/>
      <c r="MWB45" s="129"/>
      <c r="MWC45" s="128"/>
      <c r="MWD45" s="129"/>
      <c r="MWE45" s="128"/>
      <c r="MWF45" s="129"/>
      <c r="MWG45" s="128"/>
      <c r="MWH45" s="129"/>
      <c r="MWI45" s="128"/>
      <c r="MWJ45" s="129"/>
      <c r="MWK45" s="128"/>
      <c r="MWL45" s="129"/>
      <c r="MWM45" s="128"/>
      <c r="MWN45" s="129"/>
      <c r="MWO45" s="128"/>
      <c r="MWP45" s="129"/>
      <c r="MWQ45" s="128"/>
      <c r="MWR45" s="129"/>
      <c r="MWS45" s="128"/>
      <c r="MWT45" s="129"/>
      <c r="MWU45" s="128"/>
      <c r="MWV45" s="129"/>
      <c r="MWW45" s="128"/>
      <c r="MWX45" s="129"/>
      <c r="MWY45" s="128"/>
      <c r="MWZ45" s="129"/>
      <c r="MXA45" s="128"/>
      <c r="MXB45" s="129"/>
      <c r="MXC45" s="128"/>
      <c r="MXD45" s="129"/>
      <c r="MXE45" s="128"/>
      <c r="MXF45" s="129"/>
      <c r="MXG45" s="128"/>
      <c r="MXH45" s="129"/>
      <c r="MXI45" s="128"/>
      <c r="MXJ45" s="129"/>
      <c r="MXK45" s="128"/>
      <c r="MXL45" s="129"/>
      <c r="MXM45" s="128"/>
      <c r="MXN45" s="129"/>
      <c r="MXO45" s="128"/>
      <c r="MXP45" s="129"/>
      <c r="MXQ45" s="128"/>
      <c r="MXR45" s="129"/>
      <c r="MXS45" s="128"/>
      <c r="MXT45" s="129"/>
      <c r="MXU45" s="128"/>
      <c r="MXV45" s="129"/>
      <c r="MXW45" s="128"/>
      <c r="MXX45" s="129"/>
      <c r="MXY45" s="128"/>
      <c r="MXZ45" s="129"/>
      <c r="MYA45" s="128"/>
      <c r="MYB45" s="129"/>
      <c r="MYC45" s="128"/>
      <c r="MYD45" s="129"/>
      <c r="MYE45" s="128"/>
      <c r="MYF45" s="129"/>
      <c r="MYG45" s="128"/>
      <c r="MYH45" s="129"/>
      <c r="MYI45" s="128"/>
      <c r="MYJ45" s="129"/>
      <c r="MYK45" s="128"/>
      <c r="MYL45" s="129"/>
      <c r="MYM45" s="128"/>
      <c r="MYN45" s="129"/>
      <c r="MYO45" s="128"/>
      <c r="MYP45" s="129"/>
      <c r="MYQ45" s="128"/>
      <c r="MYR45" s="129"/>
      <c r="MYS45" s="128"/>
      <c r="MYT45" s="129"/>
      <c r="MYU45" s="128"/>
      <c r="MYV45" s="129"/>
      <c r="MYW45" s="128"/>
      <c r="MYX45" s="129"/>
      <c r="MYY45" s="128"/>
      <c r="MYZ45" s="129"/>
      <c r="MZA45" s="128"/>
      <c r="MZB45" s="129"/>
      <c r="MZC45" s="128"/>
      <c r="MZD45" s="129"/>
      <c r="MZE45" s="128"/>
      <c r="MZF45" s="129"/>
      <c r="MZG45" s="128"/>
      <c r="MZH45" s="129"/>
      <c r="MZI45" s="128"/>
      <c r="MZJ45" s="129"/>
      <c r="MZK45" s="128"/>
      <c r="MZL45" s="129"/>
      <c r="MZM45" s="128"/>
      <c r="MZN45" s="129"/>
      <c r="MZO45" s="128"/>
      <c r="MZP45" s="129"/>
      <c r="MZQ45" s="128"/>
      <c r="MZR45" s="129"/>
      <c r="MZS45" s="128"/>
      <c r="MZT45" s="129"/>
      <c r="MZU45" s="128"/>
      <c r="MZV45" s="129"/>
      <c r="MZW45" s="128"/>
      <c r="MZX45" s="129"/>
      <c r="MZY45" s="128"/>
      <c r="MZZ45" s="129"/>
      <c r="NAA45" s="128"/>
      <c r="NAB45" s="129"/>
      <c r="NAC45" s="128"/>
      <c r="NAD45" s="129"/>
      <c r="NAE45" s="128"/>
      <c r="NAF45" s="129"/>
      <c r="NAG45" s="128"/>
      <c r="NAH45" s="129"/>
      <c r="NAI45" s="128"/>
      <c r="NAJ45" s="129"/>
      <c r="NAK45" s="128"/>
      <c r="NAL45" s="129"/>
      <c r="NAM45" s="128"/>
      <c r="NAN45" s="129"/>
      <c r="NAO45" s="128"/>
      <c r="NAP45" s="129"/>
      <c r="NAQ45" s="128"/>
      <c r="NAR45" s="129"/>
      <c r="NAS45" s="128"/>
      <c r="NAT45" s="129"/>
      <c r="NAU45" s="128"/>
      <c r="NAV45" s="129"/>
      <c r="NAW45" s="128"/>
      <c r="NAX45" s="129"/>
      <c r="NAY45" s="128"/>
      <c r="NAZ45" s="129"/>
      <c r="NBA45" s="128"/>
      <c r="NBB45" s="129"/>
      <c r="NBC45" s="128"/>
      <c r="NBD45" s="129"/>
      <c r="NBE45" s="128"/>
      <c r="NBF45" s="129"/>
      <c r="NBG45" s="128"/>
      <c r="NBH45" s="129"/>
      <c r="NBI45" s="128"/>
      <c r="NBJ45" s="129"/>
      <c r="NBK45" s="128"/>
      <c r="NBL45" s="129"/>
      <c r="NBM45" s="128"/>
      <c r="NBN45" s="129"/>
      <c r="NBO45" s="128"/>
      <c r="NBP45" s="129"/>
      <c r="NBQ45" s="128"/>
      <c r="NBR45" s="129"/>
      <c r="NBS45" s="128"/>
      <c r="NBT45" s="129"/>
      <c r="NBU45" s="128"/>
      <c r="NBV45" s="129"/>
      <c r="NBW45" s="128"/>
      <c r="NBX45" s="129"/>
      <c r="NBY45" s="128"/>
      <c r="NBZ45" s="129"/>
      <c r="NCA45" s="128"/>
      <c r="NCB45" s="129"/>
      <c r="NCC45" s="128"/>
      <c r="NCD45" s="129"/>
      <c r="NCE45" s="128"/>
      <c r="NCF45" s="129"/>
      <c r="NCG45" s="128"/>
      <c r="NCH45" s="129"/>
      <c r="NCI45" s="128"/>
      <c r="NCJ45" s="129"/>
      <c r="NCK45" s="128"/>
      <c r="NCL45" s="129"/>
      <c r="NCM45" s="128"/>
      <c r="NCN45" s="129"/>
      <c r="NCO45" s="128"/>
      <c r="NCP45" s="129"/>
      <c r="NCQ45" s="128"/>
      <c r="NCR45" s="129"/>
      <c r="NCS45" s="128"/>
      <c r="NCT45" s="129"/>
      <c r="NCU45" s="128"/>
      <c r="NCV45" s="129"/>
      <c r="NCW45" s="128"/>
      <c r="NCX45" s="129"/>
      <c r="NCY45" s="128"/>
      <c r="NCZ45" s="129"/>
      <c r="NDA45" s="128"/>
      <c r="NDB45" s="129"/>
      <c r="NDC45" s="128"/>
      <c r="NDD45" s="129"/>
      <c r="NDE45" s="128"/>
      <c r="NDF45" s="129"/>
      <c r="NDG45" s="128"/>
      <c r="NDH45" s="129"/>
      <c r="NDI45" s="128"/>
      <c r="NDJ45" s="129"/>
      <c r="NDK45" s="128"/>
      <c r="NDL45" s="129"/>
      <c r="NDM45" s="128"/>
      <c r="NDN45" s="129"/>
      <c r="NDO45" s="128"/>
      <c r="NDP45" s="129"/>
      <c r="NDQ45" s="128"/>
      <c r="NDR45" s="129"/>
      <c r="NDS45" s="128"/>
      <c r="NDT45" s="129"/>
      <c r="NDU45" s="128"/>
      <c r="NDV45" s="129"/>
      <c r="NDW45" s="128"/>
      <c r="NDX45" s="129"/>
      <c r="NDY45" s="128"/>
      <c r="NDZ45" s="129"/>
      <c r="NEA45" s="128"/>
      <c r="NEB45" s="129"/>
      <c r="NEC45" s="128"/>
      <c r="NED45" s="129"/>
      <c r="NEE45" s="128"/>
      <c r="NEF45" s="129"/>
      <c r="NEG45" s="128"/>
      <c r="NEH45" s="129"/>
      <c r="NEI45" s="128"/>
      <c r="NEJ45" s="129"/>
      <c r="NEK45" s="128"/>
      <c r="NEL45" s="129"/>
      <c r="NEM45" s="128"/>
      <c r="NEN45" s="129"/>
      <c r="NEO45" s="128"/>
      <c r="NEP45" s="129"/>
      <c r="NEQ45" s="128"/>
      <c r="NER45" s="129"/>
      <c r="NES45" s="128"/>
      <c r="NET45" s="129"/>
      <c r="NEU45" s="128"/>
      <c r="NEV45" s="129"/>
      <c r="NEW45" s="128"/>
      <c r="NEX45" s="129"/>
      <c r="NEY45" s="128"/>
      <c r="NEZ45" s="129"/>
      <c r="NFA45" s="128"/>
      <c r="NFB45" s="129"/>
      <c r="NFC45" s="128"/>
      <c r="NFD45" s="129"/>
      <c r="NFE45" s="128"/>
      <c r="NFF45" s="129"/>
      <c r="NFG45" s="128"/>
      <c r="NFH45" s="129"/>
      <c r="NFI45" s="128"/>
      <c r="NFJ45" s="129"/>
      <c r="NFK45" s="128"/>
      <c r="NFL45" s="129"/>
      <c r="NFM45" s="128"/>
      <c r="NFN45" s="129"/>
      <c r="NFO45" s="128"/>
      <c r="NFP45" s="129"/>
      <c r="NFQ45" s="128"/>
      <c r="NFR45" s="129"/>
      <c r="NFS45" s="128"/>
      <c r="NFT45" s="129"/>
      <c r="NFU45" s="128"/>
      <c r="NFV45" s="129"/>
      <c r="NFW45" s="128"/>
      <c r="NFX45" s="129"/>
      <c r="NFY45" s="128"/>
      <c r="NFZ45" s="129"/>
      <c r="NGA45" s="128"/>
      <c r="NGB45" s="129"/>
      <c r="NGC45" s="128"/>
      <c r="NGD45" s="129"/>
      <c r="NGE45" s="128"/>
      <c r="NGF45" s="129"/>
      <c r="NGG45" s="128"/>
      <c r="NGH45" s="129"/>
      <c r="NGI45" s="128"/>
      <c r="NGJ45" s="129"/>
      <c r="NGK45" s="128"/>
      <c r="NGL45" s="129"/>
      <c r="NGM45" s="128"/>
      <c r="NGN45" s="129"/>
      <c r="NGO45" s="128"/>
      <c r="NGP45" s="129"/>
      <c r="NGQ45" s="128"/>
      <c r="NGR45" s="129"/>
      <c r="NGS45" s="128"/>
      <c r="NGT45" s="129"/>
      <c r="NGU45" s="128"/>
      <c r="NGV45" s="129"/>
      <c r="NGW45" s="128"/>
      <c r="NGX45" s="129"/>
      <c r="NGY45" s="128"/>
      <c r="NGZ45" s="129"/>
      <c r="NHA45" s="128"/>
      <c r="NHB45" s="129"/>
      <c r="NHC45" s="128"/>
      <c r="NHD45" s="129"/>
      <c r="NHE45" s="128"/>
      <c r="NHF45" s="129"/>
      <c r="NHG45" s="128"/>
      <c r="NHH45" s="129"/>
      <c r="NHI45" s="128"/>
      <c r="NHJ45" s="129"/>
      <c r="NHK45" s="128"/>
      <c r="NHL45" s="129"/>
      <c r="NHM45" s="128"/>
      <c r="NHN45" s="129"/>
      <c r="NHO45" s="128"/>
      <c r="NHP45" s="129"/>
      <c r="NHQ45" s="128"/>
      <c r="NHR45" s="129"/>
      <c r="NHS45" s="128"/>
      <c r="NHT45" s="129"/>
      <c r="NHU45" s="128"/>
      <c r="NHV45" s="129"/>
      <c r="NHW45" s="128"/>
      <c r="NHX45" s="129"/>
      <c r="NHY45" s="128"/>
      <c r="NHZ45" s="129"/>
      <c r="NIA45" s="128"/>
      <c r="NIB45" s="129"/>
      <c r="NIC45" s="128"/>
      <c r="NID45" s="129"/>
      <c r="NIE45" s="128"/>
      <c r="NIF45" s="129"/>
      <c r="NIG45" s="128"/>
      <c r="NIH45" s="129"/>
      <c r="NII45" s="128"/>
      <c r="NIJ45" s="129"/>
      <c r="NIK45" s="128"/>
      <c r="NIL45" s="129"/>
      <c r="NIM45" s="128"/>
      <c r="NIN45" s="129"/>
      <c r="NIO45" s="128"/>
      <c r="NIP45" s="129"/>
      <c r="NIQ45" s="128"/>
      <c r="NIR45" s="129"/>
      <c r="NIS45" s="128"/>
      <c r="NIT45" s="129"/>
      <c r="NIU45" s="128"/>
      <c r="NIV45" s="129"/>
      <c r="NIW45" s="128"/>
      <c r="NIX45" s="129"/>
      <c r="NIY45" s="128"/>
      <c r="NIZ45" s="129"/>
      <c r="NJA45" s="128"/>
      <c r="NJB45" s="129"/>
      <c r="NJC45" s="128"/>
      <c r="NJD45" s="129"/>
      <c r="NJE45" s="128"/>
      <c r="NJF45" s="129"/>
      <c r="NJG45" s="128"/>
      <c r="NJH45" s="129"/>
      <c r="NJI45" s="128"/>
      <c r="NJJ45" s="129"/>
      <c r="NJK45" s="128"/>
      <c r="NJL45" s="129"/>
      <c r="NJM45" s="128"/>
      <c r="NJN45" s="129"/>
      <c r="NJO45" s="128"/>
      <c r="NJP45" s="129"/>
      <c r="NJQ45" s="128"/>
      <c r="NJR45" s="129"/>
      <c r="NJS45" s="128"/>
      <c r="NJT45" s="129"/>
      <c r="NJU45" s="128"/>
      <c r="NJV45" s="129"/>
      <c r="NJW45" s="128"/>
      <c r="NJX45" s="129"/>
      <c r="NJY45" s="128"/>
      <c r="NJZ45" s="129"/>
      <c r="NKA45" s="128"/>
      <c r="NKB45" s="129"/>
      <c r="NKC45" s="128"/>
      <c r="NKD45" s="129"/>
      <c r="NKE45" s="128"/>
      <c r="NKF45" s="129"/>
      <c r="NKG45" s="128"/>
      <c r="NKH45" s="129"/>
      <c r="NKI45" s="128"/>
      <c r="NKJ45" s="129"/>
      <c r="NKK45" s="128"/>
      <c r="NKL45" s="129"/>
      <c r="NKM45" s="128"/>
      <c r="NKN45" s="129"/>
      <c r="NKO45" s="128"/>
      <c r="NKP45" s="129"/>
      <c r="NKQ45" s="128"/>
      <c r="NKR45" s="129"/>
      <c r="NKS45" s="128"/>
      <c r="NKT45" s="129"/>
      <c r="NKU45" s="128"/>
      <c r="NKV45" s="129"/>
      <c r="NKW45" s="128"/>
      <c r="NKX45" s="129"/>
      <c r="NKY45" s="128"/>
      <c r="NKZ45" s="129"/>
      <c r="NLA45" s="128"/>
      <c r="NLB45" s="129"/>
      <c r="NLC45" s="128"/>
      <c r="NLD45" s="129"/>
      <c r="NLE45" s="128"/>
      <c r="NLF45" s="129"/>
      <c r="NLG45" s="128"/>
      <c r="NLH45" s="129"/>
      <c r="NLI45" s="128"/>
      <c r="NLJ45" s="129"/>
      <c r="NLK45" s="128"/>
      <c r="NLL45" s="129"/>
      <c r="NLM45" s="128"/>
      <c r="NLN45" s="129"/>
      <c r="NLO45" s="128"/>
      <c r="NLP45" s="129"/>
      <c r="NLQ45" s="128"/>
      <c r="NLR45" s="129"/>
      <c r="NLS45" s="128"/>
      <c r="NLT45" s="129"/>
      <c r="NLU45" s="128"/>
      <c r="NLV45" s="129"/>
      <c r="NLW45" s="128"/>
      <c r="NLX45" s="129"/>
      <c r="NLY45" s="128"/>
      <c r="NLZ45" s="129"/>
      <c r="NMA45" s="128"/>
      <c r="NMB45" s="129"/>
      <c r="NMC45" s="128"/>
      <c r="NMD45" s="129"/>
      <c r="NME45" s="128"/>
      <c r="NMF45" s="129"/>
      <c r="NMG45" s="128"/>
      <c r="NMH45" s="129"/>
      <c r="NMI45" s="128"/>
      <c r="NMJ45" s="129"/>
      <c r="NMK45" s="128"/>
      <c r="NML45" s="129"/>
      <c r="NMM45" s="128"/>
      <c r="NMN45" s="129"/>
      <c r="NMO45" s="128"/>
      <c r="NMP45" s="129"/>
      <c r="NMQ45" s="128"/>
      <c r="NMR45" s="129"/>
      <c r="NMS45" s="128"/>
      <c r="NMT45" s="129"/>
      <c r="NMU45" s="128"/>
      <c r="NMV45" s="129"/>
      <c r="NMW45" s="128"/>
      <c r="NMX45" s="129"/>
      <c r="NMY45" s="128"/>
      <c r="NMZ45" s="129"/>
      <c r="NNA45" s="128"/>
      <c r="NNB45" s="129"/>
      <c r="NNC45" s="128"/>
      <c r="NND45" s="129"/>
      <c r="NNE45" s="128"/>
      <c r="NNF45" s="129"/>
      <c r="NNG45" s="128"/>
      <c r="NNH45" s="129"/>
      <c r="NNI45" s="128"/>
      <c r="NNJ45" s="129"/>
      <c r="NNK45" s="128"/>
      <c r="NNL45" s="129"/>
      <c r="NNM45" s="128"/>
      <c r="NNN45" s="129"/>
      <c r="NNO45" s="128"/>
      <c r="NNP45" s="129"/>
      <c r="NNQ45" s="128"/>
      <c r="NNR45" s="129"/>
      <c r="NNS45" s="128"/>
      <c r="NNT45" s="129"/>
      <c r="NNU45" s="128"/>
      <c r="NNV45" s="129"/>
      <c r="NNW45" s="128"/>
      <c r="NNX45" s="129"/>
      <c r="NNY45" s="128"/>
      <c r="NNZ45" s="129"/>
      <c r="NOA45" s="128"/>
      <c r="NOB45" s="129"/>
      <c r="NOC45" s="128"/>
      <c r="NOD45" s="129"/>
      <c r="NOE45" s="128"/>
      <c r="NOF45" s="129"/>
      <c r="NOG45" s="128"/>
      <c r="NOH45" s="129"/>
      <c r="NOI45" s="128"/>
      <c r="NOJ45" s="129"/>
      <c r="NOK45" s="128"/>
      <c r="NOL45" s="129"/>
      <c r="NOM45" s="128"/>
      <c r="NON45" s="129"/>
      <c r="NOO45" s="128"/>
      <c r="NOP45" s="129"/>
      <c r="NOQ45" s="128"/>
      <c r="NOR45" s="129"/>
      <c r="NOS45" s="128"/>
      <c r="NOT45" s="129"/>
      <c r="NOU45" s="128"/>
      <c r="NOV45" s="129"/>
      <c r="NOW45" s="128"/>
      <c r="NOX45" s="129"/>
      <c r="NOY45" s="128"/>
      <c r="NOZ45" s="129"/>
      <c r="NPA45" s="128"/>
      <c r="NPB45" s="129"/>
      <c r="NPC45" s="128"/>
      <c r="NPD45" s="129"/>
      <c r="NPE45" s="128"/>
      <c r="NPF45" s="129"/>
      <c r="NPG45" s="128"/>
      <c r="NPH45" s="129"/>
      <c r="NPI45" s="128"/>
      <c r="NPJ45" s="129"/>
      <c r="NPK45" s="128"/>
      <c r="NPL45" s="129"/>
      <c r="NPM45" s="128"/>
      <c r="NPN45" s="129"/>
      <c r="NPO45" s="128"/>
      <c r="NPP45" s="129"/>
      <c r="NPQ45" s="128"/>
      <c r="NPR45" s="129"/>
      <c r="NPS45" s="128"/>
      <c r="NPT45" s="129"/>
      <c r="NPU45" s="128"/>
      <c r="NPV45" s="129"/>
      <c r="NPW45" s="128"/>
      <c r="NPX45" s="129"/>
      <c r="NPY45" s="128"/>
      <c r="NPZ45" s="129"/>
      <c r="NQA45" s="128"/>
      <c r="NQB45" s="129"/>
      <c r="NQC45" s="128"/>
      <c r="NQD45" s="129"/>
      <c r="NQE45" s="128"/>
      <c r="NQF45" s="129"/>
      <c r="NQG45" s="128"/>
      <c r="NQH45" s="129"/>
      <c r="NQI45" s="128"/>
      <c r="NQJ45" s="129"/>
      <c r="NQK45" s="128"/>
      <c r="NQL45" s="129"/>
      <c r="NQM45" s="128"/>
      <c r="NQN45" s="129"/>
      <c r="NQO45" s="128"/>
      <c r="NQP45" s="129"/>
      <c r="NQQ45" s="128"/>
      <c r="NQR45" s="129"/>
      <c r="NQS45" s="128"/>
      <c r="NQT45" s="129"/>
      <c r="NQU45" s="128"/>
      <c r="NQV45" s="129"/>
      <c r="NQW45" s="128"/>
      <c r="NQX45" s="129"/>
      <c r="NQY45" s="128"/>
      <c r="NQZ45" s="129"/>
      <c r="NRA45" s="128"/>
      <c r="NRB45" s="129"/>
      <c r="NRC45" s="128"/>
      <c r="NRD45" s="129"/>
      <c r="NRE45" s="128"/>
      <c r="NRF45" s="129"/>
      <c r="NRG45" s="128"/>
      <c r="NRH45" s="129"/>
      <c r="NRI45" s="128"/>
      <c r="NRJ45" s="129"/>
      <c r="NRK45" s="128"/>
      <c r="NRL45" s="129"/>
      <c r="NRM45" s="128"/>
      <c r="NRN45" s="129"/>
      <c r="NRO45" s="128"/>
      <c r="NRP45" s="129"/>
      <c r="NRQ45" s="128"/>
      <c r="NRR45" s="129"/>
      <c r="NRS45" s="128"/>
      <c r="NRT45" s="129"/>
      <c r="NRU45" s="128"/>
      <c r="NRV45" s="129"/>
      <c r="NRW45" s="128"/>
      <c r="NRX45" s="129"/>
      <c r="NRY45" s="128"/>
      <c r="NRZ45" s="129"/>
      <c r="NSA45" s="128"/>
      <c r="NSB45" s="129"/>
      <c r="NSC45" s="128"/>
      <c r="NSD45" s="129"/>
      <c r="NSE45" s="128"/>
      <c r="NSF45" s="129"/>
      <c r="NSG45" s="128"/>
      <c r="NSH45" s="129"/>
      <c r="NSI45" s="128"/>
      <c r="NSJ45" s="129"/>
      <c r="NSK45" s="128"/>
      <c r="NSL45" s="129"/>
      <c r="NSM45" s="128"/>
      <c r="NSN45" s="129"/>
      <c r="NSO45" s="128"/>
      <c r="NSP45" s="129"/>
      <c r="NSQ45" s="128"/>
      <c r="NSR45" s="129"/>
      <c r="NSS45" s="128"/>
      <c r="NST45" s="129"/>
      <c r="NSU45" s="128"/>
      <c r="NSV45" s="129"/>
      <c r="NSW45" s="128"/>
      <c r="NSX45" s="129"/>
      <c r="NSY45" s="128"/>
      <c r="NSZ45" s="129"/>
      <c r="NTA45" s="128"/>
      <c r="NTB45" s="129"/>
      <c r="NTC45" s="128"/>
      <c r="NTD45" s="129"/>
      <c r="NTE45" s="128"/>
      <c r="NTF45" s="129"/>
      <c r="NTG45" s="128"/>
      <c r="NTH45" s="129"/>
      <c r="NTI45" s="128"/>
      <c r="NTJ45" s="129"/>
      <c r="NTK45" s="128"/>
      <c r="NTL45" s="129"/>
      <c r="NTM45" s="128"/>
      <c r="NTN45" s="129"/>
      <c r="NTO45" s="128"/>
      <c r="NTP45" s="129"/>
      <c r="NTQ45" s="128"/>
      <c r="NTR45" s="129"/>
      <c r="NTS45" s="128"/>
      <c r="NTT45" s="129"/>
      <c r="NTU45" s="128"/>
      <c r="NTV45" s="129"/>
      <c r="NTW45" s="128"/>
      <c r="NTX45" s="129"/>
      <c r="NTY45" s="128"/>
      <c r="NTZ45" s="129"/>
      <c r="NUA45" s="128"/>
      <c r="NUB45" s="129"/>
      <c r="NUC45" s="128"/>
      <c r="NUD45" s="129"/>
      <c r="NUE45" s="128"/>
      <c r="NUF45" s="129"/>
      <c r="NUG45" s="128"/>
      <c r="NUH45" s="129"/>
      <c r="NUI45" s="128"/>
      <c r="NUJ45" s="129"/>
      <c r="NUK45" s="128"/>
      <c r="NUL45" s="129"/>
      <c r="NUM45" s="128"/>
      <c r="NUN45" s="129"/>
      <c r="NUO45" s="128"/>
      <c r="NUP45" s="129"/>
      <c r="NUQ45" s="128"/>
      <c r="NUR45" s="129"/>
      <c r="NUS45" s="128"/>
      <c r="NUT45" s="129"/>
      <c r="NUU45" s="128"/>
      <c r="NUV45" s="129"/>
      <c r="NUW45" s="128"/>
      <c r="NUX45" s="129"/>
      <c r="NUY45" s="128"/>
      <c r="NUZ45" s="129"/>
      <c r="NVA45" s="128"/>
      <c r="NVB45" s="129"/>
      <c r="NVC45" s="128"/>
      <c r="NVD45" s="129"/>
      <c r="NVE45" s="128"/>
      <c r="NVF45" s="129"/>
      <c r="NVG45" s="128"/>
      <c r="NVH45" s="129"/>
      <c r="NVI45" s="128"/>
      <c r="NVJ45" s="129"/>
      <c r="NVK45" s="128"/>
      <c r="NVL45" s="129"/>
      <c r="NVM45" s="128"/>
      <c r="NVN45" s="129"/>
      <c r="NVO45" s="128"/>
      <c r="NVP45" s="129"/>
      <c r="NVQ45" s="128"/>
      <c r="NVR45" s="129"/>
      <c r="NVS45" s="128"/>
      <c r="NVT45" s="129"/>
      <c r="NVU45" s="128"/>
      <c r="NVV45" s="129"/>
      <c r="NVW45" s="128"/>
      <c r="NVX45" s="129"/>
      <c r="NVY45" s="128"/>
      <c r="NVZ45" s="129"/>
      <c r="NWA45" s="128"/>
      <c r="NWB45" s="129"/>
      <c r="NWC45" s="128"/>
      <c r="NWD45" s="129"/>
      <c r="NWE45" s="128"/>
      <c r="NWF45" s="129"/>
      <c r="NWG45" s="128"/>
      <c r="NWH45" s="129"/>
      <c r="NWI45" s="128"/>
      <c r="NWJ45" s="129"/>
      <c r="NWK45" s="128"/>
      <c r="NWL45" s="129"/>
      <c r="NWM45" s="128"/>
      <c r="NWN45" s="129"/>
      <c r="NWO45" s="128"/>
      <c r="NWP45" s="129"/>
      <c r="NWQ45" s="128"/>
      <c r="NWR45" s="129"/>
      <c r="NWS45" s="128"/>
      <c r="NWT45" s="129"/>
      <c r="NWU45" s="128"/>
      <c r="NWV45" s="129"/>
      <c r="NWW45" s="128"/>
      <c r="NWX45" s="129"/>
      <c r="NWY45" s="128"/>
      <c r="NWZ45" s="129"/>
      <c r="NXA45" s="128"/>
      <c r="NXB45" s="129"/>
      <c r="NXC45" s="128"/>
      <c r="NXD45" s="129"/>
      <c r="NXE45" s="128"/>
      <c r="NXF45" s="129"/>
      <c r="NXG45" s="128"/>
      <c r="NXH45" s="129"/>
      <c r="NXI45" s="128"/>
      <c r="NXJ45" s="129"/>
      <c r="NXK45" s="128"/>
      <c r="NXL45" s="129"/>
      <c r="NXM45" s="128"/>
      <c r="NXN45" s="129"/>
      <c r="NXO45" s="128"/>
      <c r="NXP45" s="129"/>
      <c r="NXQ45" s="128"/>
      <c r="NXR45" s="129"/>
      <c r="NXS45" s="128"/>
      <c r="NXT45" s="129"/>
      <c r="NXU45" s="128"/>
      <c r="NXV45" s="129"/>
      <c r="NXW45" s="128"/>
      <c r="NXX45" s="129"/>
      <c r="NXY45" s="128"/>
      <c r="NXZ45" s="129"/>
      <c r="NYA45" s="128"/>
      <c r="NYB45" s="129"/>
      <c r="NYC45" s="128"/>
      <c r="NYD45" s="129"/>
      <c r="NYE45" s="128"/>
      <c r="NYF45" s="129"/>
      <c r="NYG45" s="128"/>
      <c r="NYH45" s="129"/>
      <c r="NYI45" s="128"/>
      <c r="NYJ45" s="129"/>
      <c r="NYK45" s="128"/>
      <c r="NYL45" s="129"/>
      <c r="NYM45" s="128"/>
      <c r="NYN45" s="129"/>
      <c r="NYO45" s="128"/>
      <c r="NYP45" s="129"/>
      <c r="NYQ45" s="128"/>
      <c r="NYR45" s="129"/>
      <c r="NYS45" s="128"/>
      <c r="NYT45" s="129"/>
      <c r="NYU45" s="128"/>
      <c r="NYV45" s="129"/>
      <c r="NYW45" s="128"/>
      <c r="NYX45" s="129"/>
      <c r="NYY45" s="128"/>
      <c r="NYZ45" s="129"/>
      <c r="NZA45" s="128"/>
      <c r="NZB45" s="129"/>
      <c r="NZC45" s="128"/>
      <c r="NZD45" s="129"/>
      <c r="NZE45" s="128"/>
      <c r="NZF45" s="129"/>
      <c r="NZG45" s="128"/>
      <c r="NZH45" s="129"/>
      <c r="NZI45" s="128"/>
      <c r="NZJ45" s="129"/>
      <c r="NZK45" s="128"/>
      <c r="NZL45" s="129"/>
      <c r="NZM45" s="128"/>
      <c r="NZN45" s="129"/>
      <c r="NZO45" s="128"/>
      <c r="NZP45" s="129"/>
      <c r="NZQ45" s="128"/>
      <c r="NZR45" s="129"/>
      <c r="NZS45" s="128"/>
      <c r="NZT45" s="129"/>
      <c r="NZU45" s="128"/>
      <c r="NZV45" s="129"/>
      <c r="NZW45" s="128"/>
      <c r="NZX45" s="129"/>
      <c r="NZY45" s="128"/>
      <c r="NZZ45" s="129"/>
      <c r="OAA45" s="128"/>
      <c r="OAB45" s="129"/>
      <c r="OAC45" s="128"/>
      <c r="OAD45" s="129"/>
      <c r="OAE45" s="128"/>
      <c r="OAF45" s="129"/>
      <c r="OAG45" s="128"/>
      <c r="OAH45" s="129"/>
      <c r="OAI45" s="128"/>
      <c r="OAJ45" s="129"/>
      <c r="OAK45" s="128"/>
      <c r="OAL45" s="129"/>
      <c r="OAM45" s="128"/>
      <c r="OAN45" s="129"/>
      <c r="OAO45" s="128"/>
      <c r="OAP45" s="129"/>
      <c r="OAQ45" s="128"/>
      <c r="OAR45" s="129"/>
      <c r="OAS45" s="128"/>
      <c r="OAT45" s="129"/>
      <c r="OAU45" s="128"/>
      <c r="OAV45" s="129"/>
      <c r="OAW45" s="128"/>
      <c r="OAX45" s="129"/>
      <c r="OAY45" s="128"/>
      <c r="OAZ45" s="129"/>
      <c r="OBA45" s="128"/>
      <c r="OBB45" s="129"/>
      <c r="OBC45" s="128"/>
      <c r="OBD45" s="129"/>
      <c r="OBE45" s="128"/>
      <c r="OBF45" s="129"/>
      <c r="OBG45" s="128"/>
      <c r="OBH45" s="129"/>
      <c r="OBI45" s="128"/>
      <c r="OBJ45" s="129"/>
      <c r="OBK45" s="128"/>
      <c r="OBL45" s="129"/>
      <c r="OBM45" s="128"/>
      <c r="OBN45" s="129"/>
      <c r="OBO45" s="128"/>
      <c r="OBP45" s="129"/>
      <c r="OBQ45" s="128"/>
      <c r="OBR45" s="129"/>
      <c r="OBS45" s="128"/>
      <c r="OBT45" s="129"/>
      <c r="OBU45" s="128"/>
      <c r="OBV45" s="129"/>
      <c r="OBW45" s="128"/>
      <c r="OBX45" s="129"/>
      <c r="OBY45" s="128"/>
      <c r="OBZ45" s="129"/>
      <c r="OCA45" s="128"/>
      <c r="OCB45" s="129"/>
      <c r="OCC45" s="128"/>
      <c r="OCD45" s="129"/>
      <c r="OCE45" s="128"/>
      <c r="OCF45" s="129"/>
      <c r="OCG45" s="128"/>
      <c r="OCH45" s="129"/>
      <c r="OCI45" s="128"/>
      <c r="OCJ45" s="129"/>
      <c r="OCK45" s="128"/>
      <c r="OCL45" s="129"/>
      <c r="OCM45" s="128"/>
      <c r="OCN45" s="129"/>
      <c r="OCO45" s="128"/>
      <c r="OCP45" s="129"/>
      <c r="OCQ45" s="128"/>
      <c r="OCR45" s="129"/>
      <c r="OCS45" s="128"/>
      <c r="OCT45" s="129"/>
      <c r="OCU45" s="128"/>
      <c r="OCV45" s="129"/>
      <c r="OCW45" s="128"/>
      <c r="OCX45" s="129"/>
      <c r="OCY45" s="128"/>
      <c r="OCZ45" s="129"/>
      <c r="ODA45" s="128"/>
      <c r="ODB45" s="129"/>
      <c r="ODC45" s="128"/>
      <c r="ODD45" s="129"/>
      <c r="ODE45" s="128"/>
      <c r="ODF45" s="129"/>
      <c r="ODG45" s="128"/>
      <c r="ODH45" s="129"/>
      <c r="ODI45" s="128"/>
      <c r="ODJ45" s="129"/>
      <c r="ODK45" s="128"/>
      <c r="ODL45" s="129"/>
      <c r="ODM45" s="128"/>
      <c r="ODN45" s="129"/>
      <c r="ODO45" s="128"/>
      <c r="ODP45" s="129"/>
      <c r="ODQ45" s="128"/>
      <c r="ODR45" s="129"/>
      <c r="ODS45" s="128"/>
      <c r="ODT45" s="129"/>
      <c r="ODU45" s="128"/>
      <c r="ODV45" s="129"/>
      <c r="ODW45" s="128"/>
      <c r="ODX45" s="129"/>
      <c r="ODY45" s="128"/>
      <c r="ODZ45" s="129"/>
      <c r="OEA45" s="128"/>
      <c r="OEB45" s="129"/>
      <c r="OEC45" s="128"/>
      <c r="OED45" s="129"/>
      <c r="OEE45" s="128"/>
      <c r="OEF45" s="129"/>
      <c r="OEG45" s="128"/>
      <c r="OEH45" s="129"/>
      <c r="OEI45" s="128"/>
      <c r="OEJ45" s="129"/>
      <c r="OEK45" s="128"/>
      <c r="OEL45" s="129"/>
      <c r="OEM45" s="128"/>
      <c r="OEN45" s="129"/>
      <c r="OEO45" s="128"/>
      <c r="OEP45" s="129"/>
      <c r="OEQ45" s="128"/>
      <c r="OER45" s="129"/>
      <c r="OES45" s="128"/>
      <c r="OET45" s="129"/>
      <c r="OEU45" s="128"/>
      <c r="OEV45" s="129"/>
      <c r="OEW45" s="128"/>
      <c r="OEX45" s="129"/>
      <c r="OEY45" s="128"/>
      <c r="OEZ45" s="129"/>
      <c r="OFA45" s="128"/>
      <c r="OFB45" s="129"/>
      <c r="OFC45" s="128"/>
      <c r="OFD45" s="129"/>
      <c r="OFE45" s="128"/>
      <c r="OFF45" s="129"/>
      <c r="OFG45" s="128"/>
      <c r="OFH45" s="129"/>
      <c r="OFI45" s="128"/>
      <c r="OFJ45" s="129"/>
      <c r="OFK45" s="128"/>
      <c r="OFL45" s="129"/>
      <c r="OFM45" s="128"/>
      <c r="OFN45" s="129"/>
      <c r="OFO45" s="128"/>
      <c r="OFP45" s="129"/>
      <c r="OFQ45" s="128"/>
      <c r="OFR45" s="129"/>
      <c r="OFS45" s="128"/>
      <c r="OFT45" s="129"/>
      <c r="OFU45" s="128"/>
      <c r="OFV45" s="129"/>
      <c r="OFW45" s="128"/>
      <c r="OFX45" s="129"/>
      <c r="OFY45" s="128"/>
      <c r="OFZ45" s="129"/>
      <c r="OGA45" s="128"/>
      <c r="OGB45" s="129"/>
      <c r="OGC45" s="128"/>
      <c r="OGD45" s="129"/>
      <c r="OGE45" s="128"/>
      <c r="OGF45" s="129"/>
      <c r="OGG45" s="128"/>
      <c r="OGH45" s="129"/>
      <c r="OGI45" s="128"/>
      <c r="OGJ45" s="129"/>
      <c r="OGK45" s="128"/>
      <c r="OGL45" s="129"/>
      <c r="OGM45" s="128"/>
      <c r="OGN45" s="129"/>
      <c r="OGO45" s="128"/>
      <c r="OGP45" s="129"/>
      <c r="OGQ45" s="128"/>
      <c r="OGR45" s="129"/>
      <c r="OGS45" s="128"/>
      <c r="OGT45" s="129"/>
      <c r="OGU45" s="128"/>
      <c r="OGV45" s="129"/>
      <c r="OGW45" s="128"/>
      <c r="OGX45" s="129"/>
      <c r="OGY45" s="128"/>
      <c r="OGZ45" s="129"/>
      <c r="OHA45" s="128"/>
      <c r="OHB45" s="129"/>
      <c r="OHC45" s="128"/>
      <c r="OHD45" s="129"/>
      <c r="OHE45" s="128"/>
      <c r="OHF45" s="129"/>
      <c r="OHG45" s="128"/>
      <c r="OHH45" s="129"/>
      <c r="OHI45" s="128"/>
      <c r="OHJ45" s="129"/>
      <c r="OHK45" s="128"/>
      <c r="OHL45" s="129"/>
      <c r="OHM45" s="128"/>
      <c r="OHN45" s="129"/>
      <c r="OHO45" s="128"/>
      <c r="OHP45" s="129"/>
      <c r="OHQ45" s="128"/>
      <c r="OHR45" s="129"/>
      <c r="OHS45" s="128"/>
      <c r="OHT45" s="129"/>
      <c r="OHU45" s="128"/>
      <c r="OHV45" s="129"/>
      <c r="OHW45" s="128"/>
      <c r="OHX45" s="129"/>
      <c r="OHY45" s="128"/>
      <c r="OHZ45" s="129"/>
      <c r="OIA45" s="128"/>
      <c r="OIB45" s="129"/>
      <c r="OIC45" s="128"/>
      <c r="OID45" s="129"/>
      <c r="OIE45" s="128"/>
      <c r="OIF45" s="129"/>
      <c r="OIG45" s="128"/>
      <c r="OIH45" s="129"/>
      <c r="OII45" s="128"/>
      <c r="OIJ45" s="129"/>
      <c r="OIK45" s="128"/>
      <c r="OIL45" s="129"/>
      <c r="OIM45" s="128"/>
      <c r="OIN45" s="129"/>
      <c r="OIO45" s="128"/>
      <c r="OIP45" s="129"/>
      <c r="OIQ45" s="128"/>
      <c r="OIR45" s="129"/>
      <c r="OIS45" s="128"/>
      <c r="OIT45" s="129"/>
      <c r="OIU45" s="128"/>
      <c r="OIV45" s="129"/>
      <c r="OIW45" s="128"/>
      <c r="OIX45" s="129"/>
      <c r="OIY45" s="128"/>
      <c r="OIZ45" s="129"/>
      <c r="OJA45" s="128"/>
      <c r="OJB45" s="129"/>
      <c r="OJC45" s="128"/>
      <c r="OJD45" s="129"/>
      <c r="OJE45" s="128"/>
      <c r="OJF45" s="129"/>
      <c r="OJG45" s="128"/>
      <c r="OJH45" s="129"/>
      <c r="OJI45" s="128"/>
      <c r="OJJ45" s="129"/>
      <c r="OJK45" s="128"/>
      <c r="OJL45" s="129"/>
      <c r="OJM45" s="128"/>
      <c r="OJN45" s="129"/>
      <c r="OJO45" s="128"/>
      <c r="OJP45" s="129"/>
      <c r="OJQ45" s="128"/>
      <c r="OJR45" s="129"/>
      <c r="OJS45" s="128"/>
      <c r="OJT45" s="129"/>
      <c r="OJU45" s="128"/>
      <c r="OJV45" s="129"/>
      <c r="OJW45" s="128"/>
      <c r="OJX45" s="129"/>
      <c r="OJY45" s="128"/>
      <c r="OJZ45" s="129"/>
      <c r="OKA45" s="128"/>
      <c r="OKB45" s="129"/>
      <c r="OKC45" s="128"/>
      <c r="OKD45" s="129"/>
      <c r="OKE45" s="128"/>
      <c r="OKF45" s="129"/>
      <c r="OKG45" s="128"/>
      <c r="OKH45" s="129"/>
      <c r="OKI45" s="128"/>
      <c r="OKJ45" s="129"/>
      <c r="OKK45" s="128"/>
      <c r="OKL45" s="129"/>
      <c r="OKM45" s="128"/>
      <c r="OKN45" s="129"/>
      <c r="OKO45" s="128"/>
      <c r="OKP45" s="129"/>
      <c r="OKQ45" s="128"/>
      <c r="OKR45" s="129"/>
      <c r="OKS45" s="128"/>
      <c r="OKT45" s="129"/>
      <c r="OKU45" s="128"/>
      <c r="OKV45" s="129"/>
      <c r="OKW45" s="128"/>
      <c r="OKX45" s="129"/>
      <c r="OKY45" s="128"/>
      <c r="OKZ45" s="129"/>
      <c r="OLA45" s="128"/>
      <c r="OLB45" s="129"/>
      <c r="OLC45" s="128"/>
      <c r="OLD45" s="129"/>
      <c r="OLE45" s="128"/>
      <c r="OLF45" s="129"/>
      <c r="OLG45" s="128"/>
      <c r="OLH45" s="129"/>
      <c r="OLI45" s="128"/>
      <c r="OLJ45" s="129"/>
      <c r="OLK45" s="128"/>
      <c r="OLL45" s="129"/>
      <c r="OLM45" s="128"/>
      <c r="OLN45" s="129"/>
      <c r="OLO45" s="128"/>
      <c r="OLP45" s="129"/>
      <c r="OLQ45" s="128"/>
      <c r="OLR45" s="129"/>
      <c r="OLS45" s="128"/>
      <c r="OLT45" s="129"/>
      <c r="OLU45" s="128"/>
      <c r="OLV45" s="129"/>
      <c r="OLW45" s="128"/>
      <c r="OLX45" s="129"/>
      <c r="OLY45" s="128"/>
      <c r="OLZ45" s="129"/>
      <c r="OMA45" s="128"/>
      <c r="OMB45" s="129"/>
      <c r="OMC45" s="128"/>
      <c r="OMD45" s="129"/>
      <c r="OME45" s="128"/>
      <c r="OMF45" s="129"/>
      <c r="OMG45" s="128"/>
      <c r="OMH45" s="129"/>
      <c r="OMI45" s="128"/>
      <c r="OMJ45" s="129"/>
      <c r="OMK45" s="128"/>
      <c r="OML45" s="129"/>
      <c r="OMM45" s="128"/>
      <c r="OMN45" s="129"/>
      <c r="OMO45" s="128"/>
      <c r="OMP45" s="129"/>
      <c r="OMQ45" s="128"/>
      <c r="OMR45" s="129"/>
      <c r="OMS45" s="128"/>
      <c r="OMT45" s="129"/>
      <c r="OMU45" s="128"/>
      <c r="OMV45" s="129"/>
      <c r="OMW45" s="128"/>
      <c r="OMX45" s="129"/>
      <c r="OMY45" s="128"/>
      <c r="OMZ45" s="129"/>
      <c r="ONA45" s="128"/>
      <c r="ONB45" s="129"/>
      <c r="ONC45" s="128"/>
      <c r="OND45" s="129"/>
      <c r="ONE45" s="128"/>
      <c r="ONF45" s="129"/>
      <c r="ONG45" s="128"/>
      <c r="ONH45" s="129"/>
      <c r="ONI45" s="128"/>
      <c r="ONJ45" s="129"/>
      <c r="ONK45" s="128"/>
      <c r="ONL45" s="129"/>
      <c r="ONM45" s="128"/>
      <c r="ONN45" s="129"/>
      <c r="ONO45" s="128"/>
      <c r="ONP45" s="129"/>
      <c r="ONQ45" s="128"/>
      <c r="ONR45" s="129"/>
      <c r="ONS45" s="128"/>
      <c r="ONT45" s="129"/>
      <c r="ONU45" s="128"/>
      <c r="ONV45" s="129"/>
      <c r="ONW45" s="128"/>
      <c r="ONX45" s="129"/>
      <c r="ONY45" s="128"/>
      <c r="ONZ45" s="129"/>
      <c r="OOA45" s="128"/>
      <c r="OOB45" s="129"/>
      <c r="OOC45" s="128"/>
      <c r="OOD45" s="129"/>
      <c r="OOE45" s="128"/>
      <c r="OOF45" s="129"/>
      <c r="OOG45" s="128"/>
      <c r="OOH45" s="129"/>
      <c r="OOI45" s="128"/>
      <c r="OOJ45" s="129"/>
      <c r="OOK45" s="128"/>
      <c r="OOL45" s="129"/>
      <c r="OOM45" s="128"/>
      <c r="OON45" s="129"/>
      <c r="OOO45" s="128"/>
      <c r="OOP45" s="129"/>
      <c r="OOQ45" s="128"/>
      <c r="OOR45" s="129"/>
      <c r="OOS45" s="128"/>
      <c r="OOT45" s="129"/>
      <c r="OOU45" s="128"/>
      <c r="OOV45" s="129"/>
      <c r="OOW45" s="128"/>
      <c r="OOX45" s="129"/>
      <c r="OOY45" s="128"/>
      <c r="OOZ45" s="129"/>
      <c r="OPA45" s="128"/>
      <c r="OPB45" s="129"/>
      <c r="OPC45" s="128"/>
      <c r="OPD45" s="129"/>
      <c r="OPE45" s="128"/>
      <c r="OPF45" s="129"/>
      <c r="OPG45" s="128"/>
      <c r="OPH45" s="129"/>
      <c r="OPI45" s="128"/>
      <c r="OPJ45" s="129"/>
      <c r="OPK45" s="128"/>
      <c r="OPL45" s="129"/>
      <c r="OPM45" s="128"/>
      <c r="OPN45" s="129"/>
      <c r="OPO45" s="128"/>
      <c r="OPP45" s="129"/>
      <c r="OPQ45" s="128"/>
      <c r="OPR45" s="129"/>
      <c r="OPS45" s="128"/>
      <c r="OPT45" s="129"/>
      <c r="OPU45" s="128"/>
      <c r="OPV45" s="129"/>
      <c r="OPW45" s="128"/>
      <c r="OPX45" s="129"/>
      <c r="OPY45" s="128"/>
      <c r="OPZ45" s="129"/>
      <c r="OQA45" s="128"/>
      <c r="OQB45" s="129"/>
      <c r="OQC45" s="128"/>
      <c r="OQD45" s="129"/>
      <c r="OQE45" s="128"/>
      <c r="OQF45" s="129"/>
      <c r="OQG45" s="128"/>
      <c r="OQH45" s="129"/>
      <c r="OQI45" s="128"/>
      <c r="OQJ45" s="129"/>
      <c r="OQK45" s="128"/>
      <c r="OQL45" s="129"/>
      <c r="OQM45" s="128"/>
      <c r="OQN45" s="129"/>
      <c r="OQO45" s="128"/>
      <c r="OQP45" s="129"/>
      <c r="OQQ45" s="128"/>
      <c r="OQR45" s="129"/>
      <c r="OQS45" s="128"/>
      <c r="OQT45" s="129"/>
      <c r="OQU45" s="128"/>
      <c r="OQV45" s="129"/>
      <c r="OQW45" s="128"/>
      <c r="OQX45" s="129"/>
      <c r="OQY45" s="128"/>
      <c r="OQZ45" s="129"/>
      <c r="ORA45" s="128"/>
      <c r="ORB45" s="129"/>
      <c r="ORC45" s="128"/>
      <c r="ORD45" s="129"/>
      <c r="ORE45" s="128"/>
      <c r="ORF45" s="129"/>
      <c r="ORG45" s="128"/>
      <c r="ORH45" s="129"/>
      <c r="ORI45" s="128"/>
      <c r="ORJ45" s="129"/>
      <c r="ORK45" s="128"/>
      <c r="ORL45" s="129"/>
      <c r="ORM45" s="128"/>
      <c r="ORN45" s="129"/>
      <c r="ORO45" s="128"/>
      <c r="ORP45" s="129"/>
      <c r="ORQ45" s="128"/>
      <c r="ORR45" s="129"/>
      <c r="ORS45" s="128"/>
      <c r="ORT45" s="129"/>
      <c r="ORU45" s="128"/>
      <c r="ORV45" s="129"/>
      <c r="ORW45" s="128"/>
      <c r="ORX45" s="129"/>
      <c r="ORY45" s="128"/>
      <c r="ORZ45" s="129"/>
      <c r="OSA45" s="128"/>
      <c r="OSB45" s="129"/>
      <c r="OSC45" s="128"/>
      <c r="OSD45" s="129"/>
      <c r="OSE45" s="128"/>
      <c r="OSF45" s="129"/>
      <c r="OSG45" s="128"/>
      <c r="OSH45" s="129"/>
      <c r="OSI45" s="128"/>
      <c r="OSJ45" s="129"/>
      <c r="OSK45" s="128"/>
      <c r="OSL45" s="129"/>
      <c r="OSM45" s="128"/>
      <c r="OSN45" s="129"/>
      <c r="OSO45" s="128"/>
      <c r="OSP45" s="129"/>
      <c r="OSQ45" s="128"/>
      <c r="OSR45" s="129"/>
      <c r="OSS45" s="128"/>
      <c r="OST45" s="129"/>
      <c r="OSU45" s="128"/>
      <c r="OSV45" s="129"/>
      <c r="OSW45" s="128"/>
      <c r="OSX45" s="129"/>
      <c r="OSY45" s="128"/>
      <c r="OSZ45" s="129"/>
      <c r="OTA45" s="128"/>
      <c r="OTB45" s="129"/>
      <c r="OTC45" s="128"/>
      <c r="OTD45" s="129"/>
      <c r="OTE45" s="128"/>
      <c r="OTF45" s="129"/>
      <c r="OTG45" s="128"/>
      <c r="OTH45" s="129"/>
      <c r="OTI45" s="128"/>
      <c r="OTJ45" s="129"/>
      <c r="OTK45" s="128"/>
      <c r="OTL45" s="129"/>
      <c r="OTM45" s="128"/>
      <c r="OTN45" s="129"/>
      <c r="OTO45" s="128"/>
      <c r="OTP45" s="129"/>
      <c r="OTQ45" s="128"/>
      <c r="OTR45" s="129"/>
      <c r="OTS45" s="128"/>
      <c r="OTT45" s="129"/>
      <c r="OTU45" s="128"/>
      <c r="OTV45" s="129"/>
      <c r="OTW45" s="128"/>
      <c r="OTX45" s="129"/>
      <c r="OTY45" s="128"/>
      <c r="OTZ45" s="129"/>
      <c r="OUA45" s="128"/>
      <c r="OUB45" s="129"/>
      <c r="OUC45" s="128"/>
      <c r="OUD45" s="129"/>
      <c r="OUE45" s="128"/>
      <c r="OUF45" s="129"/>
      <c r="OUG45" s="128"/>
      <c r="OUH45" s="129"/>
      <c r="OUI45" s="128"/>
      <c r="OUJ45" s="129"/>
      <c r="OUK45" s="128"/>
      <c r="OUL45" s="129"/>
      <c r="OUM45" s="128"/>
      <c r="OUN45" s="129"/>
      <c r="OUO45" s="128"/>
      <c r="OUP45" s="129"/>
      <c r="OUQ45" s="128"/>
      <c r="OUR45" s="129"/>
      <c r="OUS45" s="128"/>
      <c r="OUT45" s="129"/>
      <c r="OUU45" s="128"/>
      <c r="OUV45" s="129"/>
      <c r="OUW45" s="128"/>
      <c r="OUX45" s="129"/>
      <c r="OUY45" s="128"/>
      <c r="OUZ45" s="129"/>
      <c r="OVA45" s="128"/>
      <c r="OVB45" s="129"/>
      <c r="OVC45" s="128"/>
      <c r="OVD45" s="129"/>
      <c r="OVE45" s="128"/>
      <c r="OVF45" s="129"/>
      <c r="OVG45" s="128"/>
      <c r="OVH45" s="129"/>
      <c r="OVI45" s="128"/>
      <c r="OVJ45" s="129"/>
      <c r="OVK45" s="128"/>
      <c r="OVL45" s="129"/>
      <c r="OVM45" s="128"/>
      <c r="OVN45" s="129"/>
      <c r="OVO45" s="128"/>
      <c r="OVP45" s="129"/>
      <c r="OVQ45" s="128"/>
      <c r="OVR45" s="129"/>
      <c r="OVS45" s="128"/>
      <c r="OVT45" s="129"/>
      <c r="OVU45" s="128"/>
      <c r="OVV45" s="129"/>
      <c r="OVW45" s="128"/>
      <c r="OVX45" s="129"/>
      <c r="OVY45" s="128"/>
      <c r="OVZ45" s="129"/>
      <c r="OWA45" s="128"/>
      <c r="OWB45" s="129"/>
      <c r="OWC45" s="128"/>
      <c r="OWD45" s="129"/>
      <c r="OWE45" s="128"/>
      <c r="OWF45" s="129"/>
      <c r="OWG45" s="128"/>
      <c r="OWH45" s="129"/>
      <c r="OWI45" s="128"/>
      <c r="OWJ45" s="129"/>
      <c r="OWK45" s="128"/>
      <c r="OWL45" s="129"/>
      <c r="OWM45" s="128"/>
      <c r="OWN45" s="129"/>
      <c r="OWO45" s="128"/>
      <c r="OWP45" s="129"/>
      <c r="OWQ45" s="128"/>
      <c r="OWR45" s="129"/>
      <c r="OWS45" s="128"/>
      <c r="OWT45" s="129"/>
      <c r="OWU45" s="128"/>
      <c r="OWV45" s="129"/>
      <c r="OWW45" s="128"/>
      <c r="OWX45" s="129"/>
      <c r="OWY45" s="128"/>
      <c r="OWZ45" s="129"/>
      <c r="OXA45" s="128"/>
      <c r="OXB45" s="129"/>
      <c r="OXC45" s="128"/>
      <c r="OXD45" s="129"/>
      <c r="OXE45" s="128"/>
      <c r="OXF45" s="129"/>
      <c r="OXG45" s="128"/>
      <c r="OXH45" s="129"/>
      <c r="OXI45" s="128"/>
      <c r="OXJ45" s="129"/>
      <c r="OXK45" s="128"/>
      <c r="OXL45" s="129"/>
      <c r="OXM45" s="128"/>
      <c r="OXN45" s="129"/>
      <c r="OXO45" s="128"/>
      <c r="OXP45" s="129"/>
      <c r="OXQ45" s="128"/>
      <c r="OXR45" s="129"/>
      <c r="OXS45" s="128"/>
      <c r="OXT45" s="129"/>
      <c r="OXU45" s="128"/>
      <c r="OXV45" s="129"/>
      <c r="OXW45" s="128"/>
      <c r="OXX45" s="129"/>
      <c r="OXY45" s="128"/>
      <c r="OXZ45" s="129"/>
      <c r="OYA45" s="128"/>
      <c r="OYB45" s="129"/>
      <c r="OYC45" s="128"/>
      <c r="OYD45" s="129"/>
      <c r="OYE45" s="128"/>
      <c r="OYF45" s="129"/>
      <c r="OYG45" s="128"/>
      <c r="OYH45" s="129"/>
      <c r="OYI45" s="128"/>
      <c r="OYJ45" s="129"/>
      <c r="OYK45" s="128"/>
      <c r="OYL45" s="129"/>
      <c r="OYM45" s="128"/>
      <c r="OYN45" s="129"/>
      <c r="OYO45" s="128"/>
      <c r="OYP45" s="129"/>
      <c r="OYQ45" s="128"/>
      <c r="OYR45" s="129"/>
      <c r="OYS45" s="128"/>
      <c r="OYT45" s="129"/>
      <c r="OYU45" s="128"/>
      <c r="OYV45" s="129"/>
      <c r="OYW45" s="128"/>
      <c r="OYX45" s="129"/>
      <c r="OYY45" s="128"/>
      <c r="OYZ45" s="129"/>
      <c r="OZA45" s="128"/>
      <c r="OZB45" s="129"/>
      <c r="OZC45" s="128"/>
      <c r="OZD45" s="129"/>
      <c r="OZE45" s="128"/>
      <c r="OZF45" s="129"/>
      <c r="OZG45" s="128"/>
      <c r="OZH45" s="129"/>
      <c r="OZI45" s="128"/>
      <c r="OZJ45" s="129"/>
      <c r="OZK45" s="128"/>
      <c r="OZL45" s="129"/>
      <c r="OZM45" s="128"/>
      <c r="OZN45" s="129"/>
      <c r="OZO45" s="128"/>
      <c r="OZP45" s="129"/>
      <c r="OZQ45" s="128"/>
      <c r="OZR45" s="129"/>
      <c r="OZS45" s="128"/>
      <c r="OZT45" s="129"/>
      <c r="OZU45" s="128"/>
      <c r="OZV45" s="129"/>
      <c r="OZW45" s="128"/>
      <c r="OZX45" s="129"/>
      <c r="OZY45" s="128"/>
      <c r="OZZ45" s="129"/>
      <c r="PAA45" s="128"/>
      <c r="PAB45" s="129"/>
      <c r="PAC45" s="128"/>
      <c r="PAD45" s="129"/>
      <c r="PAE45" s="128"/>
      <c r="PAF45" s="129"/>
      <c r="PAG45" s="128"/>
      <c r="PAH45" s="129"/>
      <c r="PAI45" s="128"/>
      <c r="PAJ45" s="129"/>
      <c r="PAK45" s="128"/>
      <c r="PAL45" s="129"/>
      <c r="PAM45" s="128"/>
      <c r="PAN45" s="129"/>
      <c r="PAO45" s="128"/>
      <c r="PAP45" s="129"/>
      <c r="PAQ45" s="128"/>
      <c r="PAR45" s="129"/>
      <c r="PAS45" s="128"/>
      <c r="PAT45" s="129"/>
      <c r="PAU45" s="128"/>
      <c r="PAV45" s="129"/>
      <c r="PAW45" s="128"/>
      <c r="PAX45" s="129"/>
      <c r="PAY45" s="128"/>
      <c r="PAZ45" s="129"/>
      <c r="PBA45" s="128"/>
      <c r="PBB45" s="129"/>
      <c r="PBC45" s="128"/>
      <c r="PBD45" s="129"/>
      <c r="PBE45" s="128"/>
      <c r="PBF45" s="129"/>
      <c r="PBG45" s="128"/>
      <c r="PBH45" s="129"/>
      <c r="PBI45" s="128"/>
      <c r="PBJ45" s="129"/>
      <c r="PBK45" s="128"/>
      <c r="PBL45" s="129"/>
      <c r="PBM45" s="128"/>
      <c r="PBN45" s="129"/>
      <c r="PBO45" s="128"/>
      <c r="PBP45" s="129"/>
      <c r="PBQ45" s="128"/>
      <c r="PBR45" s="129"/>
      <c r="PBS45" s="128"/>
      <c r="PBT45" s="129"/>
      <c r="PBU45" s="128"/>
      <c r="PBV45" s="129"/>
      <c r="PBW45" s="128"/>
      <c r="PBX45" s="129"/>
      <c r="PBY45" s="128"/>
      <c r="PBZ45" s="129"/>
      <c r="PCA45" s="128"/>
      <c r="PCB45" s="129"/>
      <c r="PCC45" s="128"/>
      <c r="PCD45" s="129"/>
      <c r="PCE45" s="128"/>
      <c r="PCF45" s="129"/>
      <c r="PCG45" s="128"/>
      <c r="PCH45" s="129"/>
      <c r="PCI45" s="128"/>
      <c r="PCJ45" s="129"/>
      <c r="PCK45" s="128"/>
      <c r="PCL45" s="129"/>
      <c r="PCM45" s="128"/>
      <c r="PCN45" s="129"/>
      <c r="PCO45" s="128"/>
      <c r="PCP45" s="129"/>
      <c r="PCQ45" s="128"/>
      <c r="PCR45" s="129"/>
      <c r="PCS45" s="128"/>
      <c r="PCT45" s="129"/>
      <c r="PCU45" s="128"/>
      <c r="PCV45" s="129"/>
      <c r="PCW45" s="128"/>
      <c r="PCX45" s="129"/>
      <c r="PCY45" s="128"/>
      <c r="PCZ45" s="129"/>
      <c r="PDA45" s="128"/>
      <c r="PDB45" s="129"/>
      <c r="PDC45" s="128"/>
      <c r="PDD45" s="129"/>
      <c r="PDE45" s="128"/>
      <c r="PDF45" s="129"/>
      <c r="PDG45" s="128"/>
      <c r="PDH45" s="129"/>
      <c r="PDI45" s="128"/>
      <c r="PDJ45" s="129"/>
      <c r="PDK45" s="128"/>
      <c r="PDL45" s="129"/>
      <c r="PDM45" s="128"/>
      <c r="PDN45" s="129"/>
      <c r="PDO45" s="128"/>
      <c r="PDP45" s="129"/>
      <c r="PDQ45" s="128"/>
      <c r="PDR45" s="129"/>
      <c r="PDS45" s="128"/>
      <c r="PDT45" s="129"/>
      <c r="PDU45" s="128"/>
      <c r="PDV45" s="129"/>
      <c r="PDW45" s="128"/>
      <c r="PDX45" s="129"/>
      <c r="PDY45" s="128"/>
      <c r="PDZ45" s="129"/>
      <c r="PEA45" s="128"/>
      <c r="PEB45" s="129"/>
      <c r="PEC45" s="128"/>
      <c r="PED45" s="129"/>
      <c r="PEE45" s="128"/>
      <c r="PEF45" s="129"/>
      <c r="PEG45" s="128"/>
      <c r="PEH45" s="129"/>
      <c r="PEI45" s="128"/>
      <c r="PEJ45" s="129"/>
      <c r="PEK45" s="128"/>
      <c r="PEL45" s="129"/>
      <c r="PEM45" s="128"/>
      <c r="PEN45" s="129"/>
      <c r="PEO45" s="128"/>
      <c r="PEP45" s="129"/>
      <c r="PEQ45" s="128"/>
      <c r="PER45" s="129"/>
      <c r="PES45" s="128"/>
      <c r="PET45" s="129"/>
      <c r="PEU45" s="128"/>
      <c r="PEV45" s="129"/>
      <c r="PEW45" s="128"/>
      <c r="PEX45" s="129"/>
      <c r="PEY45" s="128"/>
      <c r="PEZ45" s="129"/>
      <c r="PFA45" s="128"/>
      <c r="PFB45" s="129"/>
      <c r="PFC45" s="128"/>
      <c r="PFD45" s="129"/>
      <c r="PFE45" s="128"/>
      <c r="PFF45" s="129"/>
      <c r="PFG45" s="128"/>
      <c r="PFH45" s="129"/>
      <c r="PFI45" s="128"/>
      <c r="PFJ45" s="129"/>
      <c r="PFK45" s="128"/>
      <c r="PFL45" s="129"/>
      <c r="PFM45" s="128"/>
      <c r="PFN45" s="129"/>
      <c r="PFO45" s="128"/>
      <c r="PFP45" s="129"/>
      <c r="PFQ45" s="128"/>
      <c r="PFR45" s="129"/>
      <c r="PFS45" s="128"/>
      <c r="PFT45" s="129"/>
      <c r="PFU45" s="128"/>
      <c r="PFV45" s="129"/>
      <c r="PFW45" s="128"/>
      <c r="PFX45" s="129"/>
      <c r="PFY45" s="128"/>
      <c r="PFZ45" s="129"/>
      <c r="PGA45" s="128"/>
      <c r="PGB45" s="129"/>
      <c r="PGC45" s="128"/>
      <c r="PGD45" s="129"/>
      <c r="PGE45" s="128"/>
      <c r="PGF45" s="129"/>
      <c r="PGG45" s="128"/>
      <c r="PGH45" s="129"/>
      <c r="PGI45" s="128"/>
      <c r="PGJ45" s="129"/>
      <c r="PGK45" s="128"/>
      <c r="PGL45" s="129"/>
      <c r="PGM45" s="128"/>
      <c r="PGN45" s="129"/>
      <c r="PGO45" s="128"/>
      <c r="PGP45" s="129"/>
      <c r="PGQ45" s="128"/>
      <c r="PGR45" s="129"/>
      <c r="PGS45" s="128"/>
      <c r="PGT45" s="129"/>
      <c r="PGU45" s="128"/>
      <c r="PGV45" s="129"/>
      <c r="PGW45" s="128"/>
      <c r="PGX45" s="129"/>
      <c r="PGY45" s="128"/>
      <c r="PGZ45" s="129"/>
      <c r="PHA45" s="128"/>
      <c r="PHB45" s="129"/>
      <c r="PHC45" s="128"/>
      <c r="PHD45" s="129"/>
      <c r="PHE45" s="128"/>
      <c r="PHF45" s="129"/>
      <c r="PHG45" s="128"/>
      <c r="PHH45" s="129"/>
      <c r="PHI45" s="128"/>
      <c r="PHJ45" s="129"/>
      <c r="PHK45" s="128"/>
      <c r="PHL45" s="129"/>
      <c r="PHM45" s="128"/>
      <c r="PHN45" s="129"/>
      <c r="PHO45" s="128"/>
      <c r="PHP45" s="129"/>
      <c r="PHQ45" s="128"/>
      <c r="PHR45" s="129"/>
      <c r="PHS45" s="128"/>
      <c r="PHT45" s="129"/>
      <c r="PHU45" s="128"/>
      <c r="PHV45" s="129"/>
      <c r="PHW45" s="128"/>
      <c r="PHX45" s="129"/>
      <c r="PHY45" s="128"/>
      <c r="PHZ45" s="129"/>
      <c r="PIA45" s="128"/>
      <c r="PIB45" s="129"/>
      <c r="PIC45" s="128"/>
      <c r="PID45" s="129"/>
      <c r="PIE45" s="128"/>
      <c r="PIF45" s="129"/>
      <c r="PIG45" s="128"/>
      <c r="PIH45" s="129"/>
      <c r="PII45" s="128"/>
      <c r="PIJ45" s="129"/>
      <c r="PIK45" s="128"/>
      <c r="PIL45" s="129"/>
      <c r="PIM45" s="128"/>
      <c r="PIN45" s="129"/>
      <c r="PIO45" s="128"/>
      <c r="PIP45" s="129"/>
      <c r="PIQ45" s="128"/>
      <c r="PIR45" s="129"/>
      <c r="PIS45" s="128"/>
      <c r="PIT45" s="129"/>
      <c r="PIU45" s="128"/>
      <c r="PIV45" s="129"/>
      <c r="PIW45" s="128"/>
      <c r="PIX45" s="129"/>
      <c r="PIY45" s="128"/>
      <c r="PIZ45" s="129"/>
      <c r="PJA45" s="128"/>
      <c r="PJB45" s="129"/>
      <c r="PJC45" s="128"/>
      <c r="PJD45" s="129"/>
      <c r="PJE45" s="128"/>
      <c r="PJF45" s="129"/>
      <c r="PJG45" s="128"/>
      <c r="PJH45" s="129"/>
      <c r="PJI45" s="128"/>
      <c r="PJJ45" s="129"/>
      <c r="PJK45" s="128"/>
      <c r="PJL45" s="129"/>
      <c r="PJM45" s="128"/>
      <c r="PJN45" s="129"/>
      <c r="PJO45" s="128"/>
      <c r="PJP45" s="129"/>
      <c r="PJQ45" s="128"/>
      <c r="PJR45" s="129"/>
      <c r="PJS45" s="128"/>
      <c r="PJT45" s="129"/>
      <c r="PJU45" s="128"/>
      <c r="PJV45" s="129"/>
      <c r="PJW45" s="128"/>
      <c r="PJX45" s="129"/>
      <c r="PJY45" s="128"/>
      <c r="PJZ45" s="129"/>
      <c r="PKA45" s="128"/>
      <c r="PKB45" s="129"/>
      <c r="PKC45" s="128"/>
      <c r="PKD45" s="129"/>
      <c r="PKE45" s="128"/>
      <c r="PKF45" s="129"/>
      <c r="PKG45" s="128"/>
      <c r="PKH45" s="129"/>
      <c r="PKI45" s="128"/>
      <c r="PKJ45" s="129"/>
      <c r="PKK45" s="128"/>
      <c r="PKL45" s="129"/>
      <c r="PKM45" s="128"/>
      <c r="PKN45" s="129"/>
      <c r="PKO45" s="128"/>
      <c r="PKP45" s="129"/>
      <c r="PKQ45" s="128"/>
      <c r="PKR45" s="129"/>
      <c r="PKS45" s="128"/>
      <c r="PKT45" s="129"/>
      <c r="PKU45" s="128"/>
      <c r="PKV45" s="129"/>
      <c r="PKW45" s="128"/>
      <c r="PKX45" s="129"/>
      <c r="PKY45" s="128"/>
      <c r="PKZ45" s="129"/>
      <c r="PLA45" s="128"/>
      <c r="PLB45" s="129"/>
      <c r="PLC45" s="128"/>
      <c r="PLD45" s="129"/>
      <c r="PLE45" s="128"/>
      <c r="PLF45" s="129"/>
      <c r="PLG45" s="128"/>
      <c r="PLH45" s="129"/>
      <c r="PLI45" s="128"/>
      <c r="PLJ45" s="129"/>
      <c r="PLK45" s="128"/>
      <c r="PLL45" s="129"/>
      <c r="PLM45" s="128"/>
      <c r="PLN45" s="129"/>
      <c r="PLO45" s="128"/>
      <c r="PLP45" s="129"/>
      <c r="PLQ45" s="128"/>
      <c r="PLR45" s="129"/>
      <c r="PLS45" s="128"/>
      <c r="PLT45" s="129"/>
      <c r="PLU45" s="128"/>
      <c r="PLV45" s="129"/>
      <c r="PLW45" s="128"/>
      <c r="PLX45" s="129"/>
      <c r="PLY45" s="128"/>
      <c r="PLZ45" s="129"/>
      <c r="PMA45" s="128"/>
      <c r="PMB45" s="129"/>
      <c r="PMC45" s="128"/>
      <c r="PMD45" s="129"/>
      <c r="PME45" s="128"/>
      <c r="PMF45" s="129"/>
      <c r="PMG45" s="128"/>
      <c r="PMH45" s="129"/>
      <c r="PMI45" s="128"/>
      <c r="PMJ45" s="129"/>
      <c r="PMK45" s="128"/>
      <c r="PML45" s="129"/>
      <c r="PMM45" s="128"/>
      <c r="PMN45" s="129"/>
      <c r="PMO45" s="128"/>
      <c r="PMP45" s="129"/>
      <c r="PMQ45" s="128"/>
      <c r="PMR45" s="129"/>
      <c r="PMS45" s="128"/>
      <c r="PMT45" s="129"/>
      <c r="PMU45" s="128"/>
      <c r="PMV45" s="129"/>
      <c r="PMW45" s="128"/>
      <c r="PMX45" s="129"/>
      <c r="PMY45" s="128"/>
      <c r="PMZ45" s="129"/>
      <c r="PNA45" s="128"/>
      <c r="PNB45" s="129"/>
      <c r="PNC45" s="128"/>
      <c r="PND45" s="129"/>
      <c r="PNE45" s="128"/>
      <c r="PNF45" s="129"/>
      <c r="PNG45" s="128"/>
      <c r="PNH45" s="129"/>
      <c r="PNI45" s="128"/>
      <c r="PNJ45" s="129"/>
      <c r="PNK45" s="128"/>
      <c r="PNL45" s="129"/>
      <c r="PNM45" s="128"/>
      <c r="PNN45" s="129"/>
      <c r="PNO45" s="128"/>
      <c r="PNP45" s="129"/>
      <c r="PNQ45" s="128"/>
      <c r="PNR45" s="129"/>
      <c r="PNS45" s="128"/>
      <c r="PNT45" s="129"/>
      <c r="PNU45" s="128"/>
      <c r="PNV45" s="129"/>
      <c r="PNW45" s="128"/>
      <c r="PNX45" s="129"/>
      <c r="PNY45" s="128"/>
      <c r="PNZ45" s="129"/>
      <c r="POA45" s="128"/>
      <c r="POB45" s="129"/>
      <c r="POC45" s="128"/>
      <c r="POD45" s="129"/>
      <c r="POE45" s="128"/>
      <c r="POF45" s="129"/>
      <c r="POG45" s="128"/>
      <c r="POH45" s="129"/>
      <c r="POI45" s="128"/>
      <c r="POJ45" s="129"/>
      <c r="POK45" s="128"/>
      <c r="POL45" s="129"/>
      <c r="POM45" s="128"/>
      <c r="PON45" s="129"/>
      <c r="POO45" s="128"/>
      <c r="POP45" s="129"/>
      <c r="POQ45" s="128"/>
      <c r="POR45" s="129"/>
      <c r="POS45" s="128"/>
      <c r="POT45" s="129"/>
      <c r="POU45" s="128"/>
      <c r="POV45" s="129"/>
      <c r="POW45" s="128"/>
      <c r="POX45" s="129"/>
      <c r="POY45" s="128"/>
      <c r="POZ45" s="129"/>
      <c r="PPA45" s="128"/>
      <c r="PPB45" s="129"/>
      <c r="PPC45" s="128"/>
      <c r="PPD45" s="129"/>
      <c r="PPE45" s="128"/>
      <c r="PPF45" s="129"/>
      <c r="PPG45" s="128"/>
      <c r="PPH45" s="129"/>
      <c r="PPI45" s="128"/>
      <c r="PPJ45" s="129"/>
      <c r="PPK45" s="128"/>
      <c r="PPL45" s="129"/>
      <c r="PPM45" s="128"/>
      <c r="PPN45" s="129"/>
      <c r="PPO45" s="128"/>
      <c r="PPP45" s="129"/>
      <c r="PPQ45" s="128"/>
      <c r="PPR45" s="129"/>
      <c r="PPS45" s="128"/>
      <c r="PPT45" s="129"/>
      <c r="PPU45" s="128"/>
      <c r="PPV45" s="129"/>
      <c r="PPW45" s="128"/>
      <c r="PPX45" s="129"/>
      <c r="PPY45" s="128"/>
      <c r="PPZ45" s="129"/>
      <c r="PQA45" s="128"/>
      <c r="PQB45" s="129"/>
      <c r="PQC45" s="128"/>
      <c r="PQD45" s="129"/>
      <c r="PQE45" s="128"/>
      <c r="PQF45" s="129"/>
      <c r="PQG45" s="128"/>
      <c r="PQH45" s="129"/>
      <c r="PQI45" s="128"/>
      <c r="PQJ45" s="129"/>
      <c r="PQK45" s="128"/>
      <c r="PQL45" s="129"/>
      <c r="PQM45" s="128"/>
      <c r="PQN45" s="129"/>
      <c r="PQO45" s="128"/>
      <c r="PQP45" s="129"/>
      <c r="PQQ45" s="128"/>
      <c r="PQR45" s="129"/>
      <c r="PQS45" s="128"/>
      <c r="PQT45" s="129"/>
      <c r="PQU45" s="128"/>
      <c r="PQV45" s="129"/>
      <c r="PQW45" s="128"/>
      <c r="PQX45" s="129"/>
      <c r="PQY45" s="128"/>
      <c r="PQZ45" s="129"/>
      <c r="PRA45" s="128"/>
      <c r="PRB45" s="129"/>
      <c r="PRC45" s="128"/>
      <c r="PRD45" s="129"/>
      <c r="PRE45" s="128"/>
      <c r="PRF45" s="129"/>
      <c r="PRG45" s="128"/>
      <c r="PRH45" s="129"/>
      <c r="PRI45" s="128"/>
      <c r="PRJ45" s="129"/>
      <c r="PRK45" s="128"/>
      <c r="PRL45" s="129"/>
      <c r="PRM45" s="128"/>
      <c r="PRN45" s="129"/>
      <c r="PRO45" s="128"/>
      <c r="PRP45" s="129"/>
      <c r="PRQ45" s="128"/>
      <c r="PRR45" s="129"/>
      <c r="PRS45" s="128"/>
      <c r="PRT45" s="129"/>
      <c r="PRU45" s="128"/>
      <c r="PRV45" s="129"/>
      <c r="PRW45" s="128"/>
      <c r="PRX45" s="129"/>
      <c r="PRY45" s="128"/>
      <c r="PRZ45" s="129"/>
      <c r="PSA45" s="128"/>
      <c r="PSB45" s="129"/>
      <c r="PSC45" s="128"/>
      <c r="PSD45" s="129"/>
      <c r="PSE45" s="128"/>
      <c r="PSF45" s="129"/>
      <c r="PSG45" s="128"/>
      <c r="PSH45" s="129"/>
      <c r="PSI45" s="128"/>
      <c r="PSJ45" s="129"/>
      <c r="PSK45" s="128"/>
      <c r="PSL45" s="129"/>
      <c r="PSM45" s="128"/>
      <c r="PSN45" s="129"/>
      <c r="PSO45" s="128"/>
      <c r="PSP45" s="129"/>
      <c r="PSQ45" s="128"/>
      <c r="PSR45" s="129"/>
      <c r="PSS45" s="128"/>
      <c r="PST45" s="129"/>
      <c r="PSU45" s="128"/>
      <c r="PSV45" s="129"/>
      <c r="PSW45" s="128"/>
      <c r="PSX45" s="129"/>
      <c r="PSY45" s="128"/>
      <c r="PSZ45" s="129"/>
      <c r="PTA45" s="128"/>
      <c r="PTB45" s="129"/>
      <c r="PTC45" s="128"/>
      <c r="PTD45" s="129"/>
      <c r="PTE45" s="128"/>
      <c r="PTF45" s="129"/>
      <c r="PTG45" s="128"/>
      <c r="PTH45" s="129"/>
      <c r="PTI45" s="128"/>
      <c r="PTJ45" s="129"/>
      <c r="PTK45" s="128"/>
      <c r="PTL45" s="129"/>
      <c r="PTM45" s="128"/>
      <c r="PTN45" s="129"/>
      <c r="PTO45" s="128"/>
      <c r="PTP45" s="129"/>
      <c r="PTQ45" s="128"/>
      <c r="PTR45" s="129"/>
      <c r="PTS45" s="128"/>
      <c r="PTT45" s="129"/>
      <c r="PTU45" s="128"/>
      <c r="PTV45" s="129"/>
      <c r="PTW45" s="128"/>
      <c r="PTX45" s="129"/>
      <c r="PTY45" s="128"/>
      <c r="PTZ45" s="129"/>
      <c r="PUA45" s="128"/>
      <c r="PUB45" s="129"/>
      <c r="PUC45" s="128"/>
      <c r="PUD45" s="129"/>
      <c r="PUE45" s="128"/>
      <c r="PUF45" s="129"/>
      <c r="PUG45" s="128"/>
      <c r="PUH45" s="129"/>
      <c r="PUI45" s="128"/>
      <c r="PUJ45" s="129"/>
      <c r="PUK45" s="128"/>
      <c r="PUL45" s="129"/>
      <c r="PUM45" s="128"/>
      <c r="PUN45" s="129"/>
      <c r="PUO45" s="128"/>
      <c r="PUP45" s="129"/>
      <c r="PUQ45" s="128"/>
      <c r="PUR45" s="129"/>
      <c r="PUS45" s="128"/>
      <c r="PUT45" s="129"/>
      <c r="PUU45" s="128"/>
      <c r="PUV45" s="129"/>
      <c r="PUW45" s="128"/>
      <c r="PUX45" s="129"/>
      <c r="PUY45" s="128"/>
      <c r="PUZ45" s="129"/>
      <c r="PVA45" s="128"/>
      <c r="PVB45" s="129"/>
      <c r="PVC45" s="128"/>
      <c r="PVD45" s="129"/>
      <c r="PVE45" s="128"/>
      <c r="PVF45" s="129"/>
      <c r="PVG45" s="128"/>
      <c r="PVH45" s="129"/>
      <c r="PVI45" s="128"/>
      <c r="PVJ45" s="129"/>
      <c r="PVK45" s="128"/>
      <c r="PVL45" s="129"/>
      <c r="PVM45" s="128"/>
      <c r="PVN45" s="129"/>
      <c r="PVO45" s="128"/>
      <c r="PVP45" s="129"/>
      <c r="PVQ45" s="128"/>
      <c r="PVR45" s="129"/>
      <c r="PVS45" s="128"/>
      <c r="PVT45" s="129"/>
      <c r="PVU45" s="128"/>
      <c r="PVV45" s="129"/>
      <c r="PVW45" s="128"/>
      <c r="PVX45" s="129"/>
      <c r="PVY45" s="128"/>
      <c r="PVZ45" s="129"/>
      <c r="PWA45" s="128"/>
      <c r="PWB45" s="129"/>
      <c r="PWC45" s="128"/>
      <c r="PWD45" s="129"/>
      <c r="PWE45" s="128"/>
      <c r="PWF45" s="129"/>
      <c r="PWG45" s="128"/>
      <c r="PWH45" s="129"/>
      <c r="PWI45" s="128"/>
      <c r="PWJ45" s="129"/>
      <c r="PWK45" s="128"/>
      <c r="PWL45" s="129"/>
      <c r="PWM45" s="128"/>
      <c r="PWN45" s="129"/>
      <c r="PWO45" s="128"/>
      <c r="PWP45" s="129"/>
      <c r="PWQ45" s="128"/>
      <c r="PWR45" s="129"/>
      <c r="PWS45" s="128"/>
      <c r="PWT45" s="129"/>
      <c r="PWU45" s="128"/>
      <c r="PWV45" s="129"/>
      <c r="PWW45" s="128"/>
      <c r="PWX45" s="129"/>
      <c r="PWY45" s="128"/>
      <c r="PWZ45" s="129"/>
      <c r="PXA45" s="128"/>
      <c r="PXB45" s="129"/>
      <c r="PXC45" s="128"/>
      <c r="PXD45" s="129"/>
      <c r="PXE45" s="128"/>
      <c r="PXF45" s="129"/>
      <c r="PXG45" s="128"/>
      <c r="PXH45" s="129"/>
      <c r="PXI45" s="128"/>
      <c r="PXJ45" s="129"/>
      <c r="PXK45" s="128"/>
      <c r="PXL45" s="129"/>
      <c r="PXM45" s="128"/>
      <c r="PXN45" s="129"/>
      <c r="PXO45" s="128"/>
      <c r="PXP45" s="129"/>
      <c r="PXQ45" s="128"/>
      <c r="PXR45" s="129"/>
      <c r="PXS45" s="128"/>
      <c r="PXT45" s="129"/>
      <c r="PXU45" s="128"/>
      <c r="PXV45" s="129"/>
      <c r="PXW45" s="128"/>
      <c r="PXX45" s="129"/>
      <c r="PXY45" s="128"/>
      <c r="PXZ45" s="129"/>
      <c r="PYA45" s="128"/>
      <c r="PYB45" s="129"/>
      <c r="PYC45" s="128"/>
      <c r="PYD45" s="129"/>
      <c r="PYE45" s="128"/>
      <c r="PYF45" s="129"/>
      <c r="PYG45" s="128"/>
      <c r="PYH45" s="129"/>
      <c r="PYI45" s="128"/>
      <c r="PYJ45" s="129"/>
      <c r="PYK45" s="128"/>
      <c r="PYL45" s="129"/>
      <c r="PYM45" s="128"/>
      <c r="PYN45" s="129"/>
      <c r="PYO45" s="128"/>
      <c r="PYP45" s="129"/>
      <c r="PYQ45" s="128"/>
      <c r="PYR45" s="129"/>
      <c r="PYS45" s="128"/>
      <c r="PYT45" s="129"/>
      <c r="PYU45" s="128"/>
      <c r="PYV45" s="129"/>
      <c r="PYW45" s="128"/>
      <c r="PYX45" s="129"/>
      <c r="PYY45" s="128"/>
      <c r="PYZ45" s="129"/>
      <c r="PZA45" s="128"/>
      <c r="PZB45" s="129"/>
      <c r="PZC45" s="128"/>
      <c r="PZD45" s="129"/>
      <c r="PZE45" s="128"/>
      <c r="PZF45" s="129"/>
      <c r="PZG45" s="128"/>
      <c r="PZH45" s="129"/>
      <c r="PZI45" s="128"/>
      <c r="PZJ45" s="129"/>
      <c r="PZK45" s="128"/>
      <c r="PZL45" s="129"/>
      <c r="PZM45" s="128"/>
      <c r="PZN45" s="129"/>
      <c r="PZO45" s="128"/>
      <c r="PZP45" s="129"/>
      <c r="PZQ45" s="128"/>
      <c r="PZR45" s="129"/>
      <c r="PZS45" s="128"/>
      <c r="PZT45" s="129"/>
      <c r="PZU45" s="128"/>
      <c r="PZV45" s="129"/>
      <c r="PZW45" s="128"/>
      <c r="PZX45" s="129"/>
      <c r="PZY45" s="128"/>
      <c r="PZZ45" s="129"/>
      <c r="QAA45" s="128"/>
      <c r="QAB45" s="129"/>
      <c r="QAC45" s="128"/>
      <c r="QAD45" s="129"/>
      <c r="QAE45" s="128"/>
      <c r="QAF45" s="129"/>
      <c r="QAG45" s="128"/>
      <c r="QAH45" s="129"/>
      <c r="QAI45" s="128"/>
      <c r="QAJ45" s="129"/>
      <c r="QAK45" s="128"/>
      <c r="QAL45" s="129"/>
      <c r="QAM45" s="128"/>
      <c r="QAN45" s="129"/>
      <c r="QAO45" s="128"/>
      <c r="QAP45" s="129"/>
      <c r="QAQ45" s="128"/>
      <c r="QAR45" s="129"/>
      <c r="QAS45" s="128"/>
      <c r="QAT45" s="129"/>
      <c r="QAU45" s="128"/>
      <c r="QAV45" s="129"/>
      <c r="QAW45" s="128"/>
      <c r="QAX45" s="129"/>
      <c r="QAY45" s="128"/>
      <c r="QAZ45" s="129"/>
      <c r="QBA45" s="128"/>
      <c r="QBB45" s="129"/>
      <c r="QBC45" s="128"/>
      <c r="QBD45" s="129"/>
      <c r="QBE45" s="128"/>
      <c r="QBF45" s="129"/>
      <c r="QBG45" s="128"/>
      <c r="QBH45" s="129"/>
      <c r="QBI45" s="128"/>
      <c r="QBJ45" s="129"/>
      <c r="QBK45" s="128"/>
      <c r="QBL45" s="129"/>
      <c r="QBM45" s="128"/>
      <c r="QBN45" s="129"/>
      <c r="QBO45" s="128"/>
      <c r="QBP45" s="129"/>
      <c r="QBQ45" s="128"/>
      <c r="QBR45" s="129"/>
      <c r="QBS45" s="128"/>
      <c r="QBT45" s="129"/>
      <c r="QBU45" s="128"/>
      <c r="QBV45" s="129"/>
      <c r="QBW45" s="128"/>
      <c r="QBX45" s="129"/>
      <c r="QBY45" s="128"/>
      <c r="QBZ45" s="129"/>
      <c r="QCA45" s="128"/>
      <c r="QCB45" s="129"/>
      <c r="QCC45" s="128"/>
      <c r="QCD45" s="129"/>
      <c r="QCE45" s="128"/>
      <c r="QCF45" s="129"/>
      <c r="QCG45" s="128"/>
      <c r="QCH45" s="129"/>
      <c r="QCI45" s="128"/>
      <c r="QCJ45" s="129"/>
      <c r="QCK45" s="128"/>
      <c r="QCL45" s="129"/>
      <c r="QCM45" s="128"/>
      <c r="QCN45" s="129"/>
      <c r="QCO45" s="128"/>
      <c r="QCP45" s="129"/>
      <c r="QCQ45" s="128"/>
      <c r="QCR45" s="129"/>
      <c r="QCS45" s="128"/>
      <c r="QCT45" s="129"/>
      <c r="QCU45" s="128"/>
      <c r="QCV45" s="129"/>
      <c r="QCW45" s="128"/>
      <c r="QCX45" s="129"/>
      <c r="QCY45" s="128"/>
      <c r="QCZ45" s="129"/>
      <c r="QDA45" s="128"/>
      <c r="QDB45" s="129"/>
      <c r="QDC45" s="128"/>
      <c r="QDD45" s="129"/>
      <c r="QDE45" s="128"/>
      <c r="QDF45" s="129"/>
      <c r="QDG45" s="128"/>
      <c r="QDH45" s="129"/>
      <c r="QDI45" s="128"/>
      <c r="QDJ45" s="129"/>
      <c r="QDK45" s="128"/>
      <c r="QDL45" s="129"/>
      <c r="QDM45" s="128"/>
      <c r="QDN45" s="129"/>
      <c r="QDO45" s="128"/>
      <c r="QDP45" s="129"/>
      <c r="QDQ45" s="128"/>
      <c r="QDR45" s="129"/>
      <c r="QDS45" s="128"/>
      <c r="QDT45" s="129"/>
      <c r="QDU45" s="128"/>
      <c r="QDV45" s="129"/>
      <c r="QDW45" s="128"/>
      <c r="QDX45" s="129"/>
      <c r="QDY45" s="128"/>
      <c r="QDZ45" s="129"/>
      <c r="QEA45" s="128"/>
      <c r="QEB45" s="129"/>
      <c r="QEC45" s="128"/>
      <c r="QED45" s="129"/>
      <c r="QEE45" s="128"/>
      <c r="QEF45" s="129"/>
      <c r="QEG45" s="128"/>
      <c r="QEH45" s="129"/>
      <c r="QEI45" s="128"/>
      <c r="QEJ45" s="129"/>
      <c r="QEK45" s="128"/>
      <c r="QEL45" s="129"/>
      <c r="QEM45" s="128"/>
      <c r="QEN45" s="129"/>
      <c r="QEO45" s="128"/>
      <c r="QEP45" s="129"/>
      <c r="QEQ45" s="128"/>
      <c r="QER45" s="129"/>
      <c r="QES45" s="128"/>
      <c r="QET45" s="129"/>
      <c r="QEU45" s="128"/>
      <c r="QEV45" s="129"/>
      <c r="QEW45" s="128"/>
      <c r="QEX45" s="129"/>
      <c r="QEY45" s="128"/>
      <c r="QEZ45" s="129"/>
      <c r="QFA45" s="128"/>
      <c r="QFB45" s="129"/>
      <c r="QFC45" s="128"/>
      <c r="QFD45" s="129"/>
      <c r="QFE45" s="128"/>
      <c r="QFF45" s="129"/>
      <c r="QFG45" s="128"/>
      <c r="QFH45" s="129"/>
      <c r="QFI45" s="128"/>
      <c r="QFJ45" s="129"/>
      <c r="QFK45" s="128"/>
      <c r="QFL45" s="129"/>
      <c r="QFM45" s="128"/>
      <c r="QFN45" s="129"/>
      <c r="QFO45" s="128"/>
      <c r="QFP45" s="129"/>
      <c r="QFQ45" s="128"/>
      <c r="QFR45" s="129"/>
      <c r="QFS45" s="128"/>
      <c r="QFT45" s="129"/>
      <c r="QFU45" s="128"/>
      <c r="QFV45" s="129"/>
      <c r="QFW45" s="128"/>
      <c r="QFX45" s="129"/>
      <c r="QFY45" s="128"/>
      <c r="QFZ45" s="129"/>
      <c r="QGA45" s="128"/>
      <c r="QGB45" s="129"/>
      <c r="QGC45" s="128"/>
      <c r="QGD45" s="129"/>
      <c r="QGE45" s="128"/>
      <c r="QGF45" s="129"/>
      <c r="QGG45" s="128"/>
      <c r="QGH45" s="129"/>
      <c r="QGI45" s="128"/>
      <c r="QGJ45" s="129"/>
      <c r="QGK45" s="128"/>
      <c r="QGL45" s="129"/>
      <c r="QGM45" s="128"/>
      <c r="QGN45" s="129"/>
      <c r="QGO45" s="128"/>
      <c r="QGP45" s="129"/>
      <c r="QGQ45" s="128"/>
      <c r="QGR45" s="129"/>
      <c r="QGS45" s="128"/>
      <c r="QGT45" s="129"/>
      <c r="QGU45" s="128"/>
      <c r="QGV45" s="129"/>
      <c r="QGW45" s="128"/>
      <c r="QGX45" s="129"/>
      <c r="QGY45" s="128"/>
      <c r="QGZ45" s="129"/>
      <c r="QHA45" s="128"/>
      <c r="QHB45" s="129"/>
      <c r="QHC45" s="128"/>
      <c r="QHD45" s="129"/>
      <c r="QHE45" s="128"/>
      <c r="QHF45" s="129"/>
      <c r="QHG45" s="128"/>
      <c r="QHH45" s="129"/>
      <c r="QHI45" s="128"/>
      <c r="QHJ45" s="129"/>
      <c r="QHK45" s="128"/>
      <c r="QHL45" s="129"/>
      <c r="QHM45" s="128"/>
      <c r="QHN45" s="129"/>
      <c r="QHO45" s="128"/>
      <c r="QHP45" s="129"/>
      <c r="QHQ45" s="128"/>
      <c r="QHR45" s="129"/>
      <c r="QHS45" s="128"/>
      <c r="QHT45" s="129"/>
      <c r="QHU45" s="128"/>
      <c r="QHV45" s="129"/>
      <c r="QHW45" s="128"/>
      <c r="QHX45" s="129"/>
      <c r="QHY45" s="128"/>
      <c r="QHZ45" s="129"/>
      <c r="QIA45" s="128"/>
      <c r="QIB45" s="129"/>
      <c r="QIC45" s="128"/>
      <c r="QID45" s="129"/>
      <c r="QIE45" s="128"/>
      <c r="QIF45" s="129"/>
      <c r="QIG45" s="128"/>
      <c r="QIH45" s="129"/>
      <c r="QII45" s="128"/>
      <c r="QIJ45" s="129"/>
      <c r="QIK45" s="128"/>
      <c r="QIL45" s="129"/>
      <c r="QIM45" s="128"/>
      <c r="QIN45" s="129"/>
      <c r="QIO45" s="128"/>
      <c r="QIP45" s="129"/>
      <c r="QIQ45" s="128"/>
      <c r="QIR45" s="129"/>
      <c r="QIS45" s="128"/>
      <c r="QIT45" s="129"/>
      <c r="QIU45" s="128"/>
      <c r="QIV45" s="129"/>
      <c r="QIW45" s="128"/>
      <c r="QIX45" s="129"/>
      <c r="QIY45" s="128"/>
      <c r="QIZ45" s="129"/>
      <c r="QJA45" s="128"/>
      <c r="QJB45" s="129"/>
      <c r="QJC45" s="128"/>
      <c r="QJD45" s="129"/>
      <c r="QJE45" s="128"/>
      <c r="QJF45" s="129"/>
      <c r="QJG45" s="128"/>
      <c r="QJH45" s="129"/>
      <c r="QJI45" s="128"/>
      <c r="QJJ45" s="129"/>
      <c r="QJK45" s="128"/>
      <c r="QJL45" s="129"/>
      <c r="QJM45" s="128"/>
      <c r="QJN45" s="129"/>
      <c r="QJO45" s="128"/>
      <c r="QJP45" s="129"/>
      <c r="QJQ45" s="128"/>
      <c r="QJR45" s="129"/>
      <c r="QJS45" s="128"/>
      <c r="QJT45" s="129"/>
      <c r="QJU45" s="128"/>
      <c r="QJV45" s="129"/>
      <c r="QJW45" s="128"/>
      <c r="QJX45" s="129"/>
      <c r="QJY45" s="128"/>
      <c r="QJZ45" s="129"/>
      <c r="QKA45" s="128"/>
      <c r="QKB45" s="129"/>
      <c r="QKC45" s="128"/>
      <c r="QKD45" s="129"/>
      <c r="QKE45" s="128"/>
      <c r="QKF45" s="129"/>
      <c r="QKG45" s="128"/>
      <c r="QKH45" s="129"/>
      <c r="QKI45" s="128"/>
      <c r="QKJ45" s="129"/>
      <c r="QKK45" s="128"/>
      <c r="QKL45" s="129"/>
      <c r="QKM45" s="128"/>
      <c r="QKN45" s="129"/>
      <c r="QKO45" s="128"/>
      <c r="QKP45" s="129"/>
      <c r="QKQ45" s="128"/>
      <c r="QKR45" s="129"/>
      <c r="QKS45" s="128"/>
      <c r="QKT45" s="129"/>
      <c r="QKU45" s="128"/>
      <c r="QKV45" s="129"/>
      <c r="QKW45" s="128"/>
      <c r="QKX45" s="129"/>
      <c r="QKY45" s="128"/>
      <c r="QKZ45" s="129"/>
      <c r="QLA45" s="128"/>
      <c r="QLB45" s="129"/>
      <c r="QLC45" s="128"/>
      <c r="QLD45" s="129"/>
      <c r="QLE45" s="128"/>
      <c r="QLF45" s="129"/>
      <c r="QLG45" s="128"/>
      <c r="QLH45" s="129"/>
      <c r="QLI45" s="128"/>
      <c r="QLJ45" s="129"/>
      <c r="QLK45" s="128"/>
      <c r="QLL45" s="129"/>
      <c r="QLM45" s="128"/>
      <c r="QLN45" s="129"/>
      <c r="QLO45" s="128"/>
      <c r="QLP45" s="129"/>
      <c r="QLQ45" s="128"/>
      <c r="QLR45" s="129"/>
      <c r="QLS45" s="128"/>
      <c r="QLT45" s="129"/>
      <c r="QLU45" s="128"/>
      <c r="QLV45" s="129"/>
      <c r="QLW45" s="128"/>
      <c r="QLX45" s="129"/>
      <c r="QLY45" s="128"/>
      <c r="QLZ45" s="129"/>
      <c r="QMA45" s="128"/>
      <c r="QMB45" s="129"/>
      <c r="QMC45" s="128"/>
      <c r="QMD45" s="129"/>
      <c r="QME45" s="128"/>
      <c r="QMF45" s="129"/>
      <c r="QMG45" s="128"/>
      <c r="QMH45" s="129"/>
      <c r="QMI45" s="128"/>
      <c r="QMJ45" s="129"/>
      <c r="QMK45" s="128"/>
      <c r="QML45" s="129"/>
      <c r="QMM45" s="128"/>
      <c r="QMN45" s="129"/>
      <c r="QMO45" s="128"/>
      <c r="QMP45" s="129"/>
      <c r="QMQ45" s="128"/>
      <c r="QMR45" s="129"/>
      <c r="QMS45" s="128"/>
      <c r="QMT45" s="129"/>
      <c r="QMU45" s="128"/>
      <c r="QMV45" s="129"/>
      <c r="QMW45" s="128"/>
      <c r="QMX45" s="129"/>
      <c r="QMY45" s="128"/>
      <c r="QMZ45" s="129"/>
      <c r="QNA45" s="128"/>
      <c r="QNB45" s="129"/>
      <c r="QNC45" s="128"/>
      <c r="QND45" s="129"/>
      <c r="QNE45" s="128"/>
      <c r="QNF45" s="129"/>
      <c r="QNG45" s="128"/>
      <c r="QNH45" s="129"/>
      <c r="QNI45" s="128"/>
      <c r="QNJ45" s="129"/>
      <c r="QNK45" s="128"/>
      <c r="QNL45" s="129"/>
      <c r="QNM45" s="128"/>
      <c r="QNN45" s="129"/>
      <c r="QNO45" s="128"/>
      <c r="QNP45" s="129"/>
      <c r="QNQ45" s="128"/>
      <c r="QNR45" s="129"/>
      <c r="QNS45" s="128"/>
      <c r="QNT45" s="129"/>
      <c r="QNU45" s="128"/>
      <c r="QNV45" s="129"/>
      <c r="QNW45" s="128"/>
      <c r="QNX45" s="129"/>
      <c r="QNY45" s="128"/>
      <c r="QNZ45" s="129"/>
      <c r="QOA45" s="128"/>
      <c r="QOB45" s="129"/>
      <c r="QOC45" s="128"/>
      <c r="QOD45" s="129"/>
      <c r="QOE45" s="128"/>
      <c r="QOF45" s="129"/>
      <c r="QOG45" s="128"/>
      <c r="QOH45" s="129"/>
      <c r="QOI45" s="128"/>
      <c r="QOJ45" s="129"/>
      <c r="QOK45" s="128"/>
      <c r="QOL45" s="129"/>
      <c r="QOM45" s="128"/>
      <c r="QON45" s="129"/>
      <c r="QOO45" s="128"/>
      <c r="QOP45" s="129"/>
      <c r="QOQ45" s="128"/>
      <c r="QOR45" s="129"/>
      <c r="QOS45" s="128"/>
      <c r="QOT45" s="129"/>
      <c r="QOU45" s="128"/>
      <c r="QOV45" s="129"/>
      <c r="QOW45" s="128"/>
      <c r="QOX45" s="129"/>
      <c r="QOY45" s="128"/>
      <c r="QOZ45" s="129"/>
      <c r="QPA45" s="128"/>
      <c r="QPB45" s="129"/>
      <c r="QPC45" s="128"/>
      <c r="QPD45" s="129"/>
      <c r="QPE45" s="128"/>
      <c r="QPF45" s="129"/>
      <c r="QPG45" s="128"/>
      <c r="QPH45" s="129"/>
      <c r="QPI45" s="128"/>
      <c r="QPJ45" s="129"/>
      <c r="QPK45" s="128"/>
      <c r="QPL45" s="129"/>
      <c r="QPM45" s="128"/>
      <c r="QPN45" s="129"/>
      <c r="QPO45" s="128"/>
      <c r="QPP45" s="129"/>
      <c r="QPQ45" s="128"/>
      <c r="QPR45" s="129"/>
      <c r="QPS45" s="128"/>
      <c r="QPT45" s="129"/>
      <c r="QPU45" s="128"/>
      <c r="QPV45" s="129"/>
      <c r="QPW45" s="128"/>
      <c r="QPX45" s="129"/>
      <c r="QPY45" s="128"/>
      <c r="QPZ45" s="129"/>
      <c r="QQA45" s="128"/>
      <c r="QQB45" s="129"/>
      <c r="QQC45" s="128"/>
      <c r="QQD45" s="129"/>
      <c r="QQE45" s="128"/>
      <c r="QQF45" s="129"/>
      <c r="QQG45" s="128"/>
      <c r="QQH45" s="129"/>
      <c r="QQI45" s="128"/>
      <c r="QQJ45" s="129"/>
      <c r="QQK45" s="128"/>
      <c r="QQL45" s="129"/>
      <c r="QQM45" s="128"/>
      <c r="QQN45" s="129"/>
      <c r="QQO45" s="128"/>
      <c r="QQP45" s="129"/>
      <c r="QQQ45" s="128"/>
      <c r="QQR45" s="129"/>
      <c r="QQS45" s="128"/>
      <c r="QQT45" s="129"/>
      <c r="QQU45" s="128"/>
      <c r="QQV45" s="129"/>
      <c r="QQW45" s="128"/>
      <c r="QQX45" s="129"/>
      <c r="QQY45" s="128"/>
      <c r="QQZ45" s="129"/>
      <c r="QRA45" s="128"/>
      <c r="QRB45" s="129"/>
      <c r="QRC45" s="128"/>
      <c r="QRD45" s="129"/>
      <c r="QRE45" s="128"/>
      <c r="QRF45" s="129"/>
      <c r="QRG45" s="128"/>
      <c r="QRH45" s="129"/>
      <c r="QRI45" s="128"/>
      <c r="QRJ45" s="129"/>
      <c r="QRK45" s="128"/>
      <c r="QRL45" s="129"/>
      <c r="QRM45" s="128"/>
      <c r="QRN45" s="129"/>
      <c r="QRO45" s="128"/>
      <c r="QRP45" s="129"/>
      <c r="QRQ45" s="128"/>
      <c r="QRR45" s="129"/>
      <c r="QRS45" s="128"/>
      <c r="QRT45" s="129"/>
      <c r="QRU45" s="128"/>
      <c r="QRV45" s="129"/>
      <c r="QRW45" s="128"/>
      <c r="QRX45" s="129"/>
      <c r="QRY45" s="128"/>
      <c r="QRZ45" s="129"/>
      <c r="QSA45" s="128"/>
      <c r="QSB45" s="129"/>
      <c r="QSC45" s="128"/>
      <c r="QSD45" s="129"/>
      <c r="QSE45" s="128"/>
      <c r="QSF45" s="129"/>
      <c r="QSG45" s="128"/>
      <c r="QSH45" s="129"/>
      <c r="QSI45" s="128"/>
      <c r="QSJ45" s="129"/>
      <c r="QSK45" s="128"/>
      <c r="QSL45" s="129"/>
      <c r="QSM45" s="128"/>
      <c r="QSN45" s="129"/>
      <c r="QSO45" s="128"/>
      <c r="QSP45" s="129"/>
      <c r="QSQ45" s="128"/>
      <c r="QSR45" s="129"/>
      <c r="QSS45" s="128"/>
      <c r="QST45" s="129"/>
      <c r="QSU45" s="128"/>
      <c r="QSV45" s="129"/>
      <c r="QSW45" s="128"/>
      <c r="QSX45" s="129"/>
      <c r="QSY45" s="128"/>
      <c r="QSZ45" s="129"/>
      <c r="QTA45" s="128"/>
      <c r="QTB45" s="129"/>
      <c r="QTC45" s="128"/>
      <c r="QTD45" s="129"/>
      <c r="QTE45" s="128"/>
      <c r="QTF45" s="129"/>
      <c r="QTG45" s="128"/>
      <c r="QTH45" s="129"/>
      <c r="QTI45" s="128"/>
      <c r="QTJ45" s="129"/>
      <c r="QTK45" s="128"/>
      <c r="QTL45" s="129"/>
      <c r="QTM45" s="128"/>
      <c r="QTN45" s="129"/>
      <c r="QTO45" s="128"/>
      <c r="QTP45" s="129"/>
      <c r="QTQ45" s="128"/>
      <c r="QTR45" s="129"/>
      <c r="QTS45" s="128"/>
      <c r="QTT45" s="129"/>
      <c r="QTU45" s="128"/>
      <c r="QTV45" s="129"/>
      <c r="QTW45" s="128"/>
      <c r="QTX45" s="129"/>
      <c r="QTY45" s="128"/>
      <c r="QTZ45" s="129"/>
      <c r="QUA45" s="128"/>
      <c r="QUB45" s="129"/>
      <c r="QUC45" s="128"/>
      <c r="QUD45" s="129"/>
      <c r="QUE45" s="128"/>
      <c r="QUF45" s="129"/>
      <c r="QUG45" s="128"/>
      <c r="QUH45" s="129"/>
      <c r="QUI45" s="128"/>
      <c r="QUJ45" s="129"/>
      <c r="QUK45" s="128"/>
      <c r="QUL45" s="129"/>
      <c r="QUM45" s="128"/>
      <c r="QUN45" s="129"/>
      <c r="QUO45" s="128"/>
      <c r="QUP45" s="129"/>
      <c r="QUQ45" s="128"/>
      <c r="QUR45" s="129"/>
      <c r="QUS45" s="128"/>
      <c r="QUT45" s="129"/>
      <c r="QUU45" s="128"/>
      <c r="QUV45" s="129"/>
      <c r="QUW45" s="128"/>
      <c r="QUX45" s="129"/>
      <c r="QUY45" s="128"/>
      <c r="QUZ45" s="129"/>
      <c r="QVA45" s="128"/>
      <c r="QVB45" s="129"/>
      <c r="QVC45" s="128"/>
      <c r="QVD45" s="129"/>
      <c r="QVE45" s="128"/>
      <c r="QVF45" s="129"/>
      <c r="QVG45" s="128"/>
      <c r="QVH45" s="129"/>
      <c r="QVI45" s="128"/>
      <c r="QVJ45" s="129"/>
      <c r="QVK45" s="128"/>
      <c r="QVL45" s="129"/>
      <c r="QVM45" s="128"/>
      <c r="QVN45" s="129"/>
      <c r="QVO45" s="128"/>
      <c r="QVP45" s="129"/>
      <c r="QVQ45" s="128"/>
      <c r="QVR45" s="129"/>
      <c r="QVS45" s="128"/>
      <c r="QVT45" s="129"/>
      <c r="QVU45" s="128"/>
      <c r="QVV45" s="129"/>
      <c r="QVW45" s="128"/>
      <c r="QVX45" s="129"/>
      <c r="QVY45" s="128"/>
      <c r="QVZ45" s="129"/>
      <c r="QWA45" s="128"/>
      <c r="QWB45" s="129"/>
      <c r="QWC45" s="128"/>
      <c r="QWD45" s="129"/>
      <c r="QWE45" s="128"/>
      <c r="QWF45" s="129"/>
      <c r="QWG45" s="128"/>
      <c r="QWH45" s="129"/>
      <c r="QWI45" s="128"/>
      <c r="QWJ45" s="129"/>
      <c r="QWK45" s="128"/>
      <c r="QWL45" s="129"/>
      <c r="QWM45" s="128"/>
      <c r="QWN45" s="129"/>
      <c r="QWO45" s="128"/>
      <c r="QWP45" s="129"/>
      <c r="QWQ45" s="128"/>
      <c r="QWR45" s="129"/>
      <c r="QWS45" s="128"/>
      <c r="QWT45" s="129"/>
      <c r="QWU45" s="128"/>
      <c r="QWV45" s="129"/>
      <c r="QWW45" s="128"/>
      <c r="QWX45" s="129"/>
      <c r="QWY45" s="128"/>
      <c r="QWZ45" s="129"/>
      <c r="QXA45" s="128"/>
      <c r="QXB45" s="129"/>
      <c r="QXC45" s="128"/>
      <c r="QXD45" s="129"/>
      <c r="QXE45" s="128"/>
      <c r="QXF45" s="129"/>
      <c r="QXG45" s="128"/>
      <c r="QXH45" s="129"/>
      <c r="QXI45" s="128"/>
      <c r="QXJ45" s="129"/>
      <c r="QXK45" s="128"/>
      <c r="QXL45" s="129"/>
      <c r="QXM45" s="128"/>
      <c r="QXN45" s="129"/>
      <c r="QXO45" s="128"/>
      <c r="QXP45" s="129"/>
      <c r="QXQ45" s="128"/>
      <c r="QXR45" s="129"/>
      <c r="QXS45" s="128"/>
      <c r="QXT45" s="129"/>
      <c r="QXU45" s="128"/>
      <c r="QXV45" s="129"/>
      <c r="QXW45" s="128"/>
      <c r="QXX45" s="129"/>
      <c r="QXY45" s="128"/>
      <c r="QXZ45" s="129"/>
      <c r="QYA45" s="128"/>
      <c r="QYB45" s="129"/>
      <c r="QYC45" s="128"/>
      <c r="QYD45" s="129"/>
      <c r="QYE45" s="128"/>
      <c r="QYF45" s="129"/>
      <c r="QYG45" s="128"/>
      <c r="QYH45" s="129"/>
      <c r="QYI45" s="128"/>
      <c r="QYJ45" s="129"/>
      <c r="QYK45" s="128"/>
      <c r="QYL45" s="129"/>
      <c r="QYM45" s="128"/>
      <c r="QYN45" s="129"/>
      <c r="QYO45" s="128"/>
      <c r="QYP45" s="129"/>
      <c r="QYQ45" s="128"/>
      <c r="QYR45" s="129"/>
      <c r="QYS45" s="128"/>
      <c r="QYT45" s="129"/>
      <c r="QYU45" s="128"/>
      <c r="QYV45" s="129"/>
      <c r="QYW45" s="128"/>
      <c r="QYX45" s="129"/>
      <c r="QYY45" s="128"/>
      <c r="QYZ45" s="129"/>
      <c r="QZA45" s="128"/>
      <c r="QZB45" s="129"/>
      <c r="QZC45" s="128"/>
      <c r="QZD45" s="129"/>
      <c r="QZE45" s="128"/>
      <c r="QZF45" s="129"/>
      <c r="QZG45" s="128"/>
      <c r="QZH45" s="129"/>
      <c r="QZI45" s="128"/>
      <c r="QZJ45" s="129"/>
      <c r="QZK45" s="128"/>
      <c r="QZL45" s="129"/>
      <c r="QZM45" s="128"/>
      <c r="QZN45" s="129"/>
      <c r="QZO45" s="128"/>
      <c r="QZP45" s="129"/>
      <c r="QZQ45" s="128"/>
      <c r="QZR45" s="129"/>
      <c r="QZS45" s="128"/>
      <c r="QZT45" s="129"/>
      <c r="QZU45" s="128"/>
      <c r="QZV45" s="129"/>
      <c r="QZW45" s="128"/>
      <c r="QZX45" s="129"/>
      <c r="QZY45" s="128"/>
      <c r="QZZ45" s="129"/>
      <c r="RAA45" s="128"/>
      <c r="RAB45" s="129"/>
      <c r="RAC45" s="128"/>
      <c r="RAD45" s="129"/>
      <c r="RAE45" s="128"/>
      <c r="RAF45" s="129"/>
      <c r="RAG45" s="128"/>
      <c r="RAH45" s="129"/>
      <c r="RAI45" s="128"/>
      <c r="RAJ45" s="129"/>
      <c r="RAK45" s="128"/>
      <c r="RAL45" s="129"/>
      <c r="RAM45" s="128"/>
      <c r="RAN45" s="129"/>
      <c r="RAO45" s="128"/>
      <c r="RAP45" s="129"/>
      <c r="RAQ45" s="128"/>
      <c r="RAR45" s="129"/>
      <c r="RAS45" s="128"/>
      <c r="RAT45" s="129"/>
      <c r="RAU45" s="128"/>
      <c r="RAV45" s="129"/>
      <c r="RAW45" s="128"/>
      <c r="RAX45" s="129"/>
      <c r="RAY45" s="128"/>
      <c r="RAZ45" s="129"/>
      <c r="RBA45" s="128"/>
      <c r="RBB45" s="129"/>
      <c r="RBC45" s="128"/>
      <c r="RBD45" s="129"/>
      <c r="RBE45" s="128"/>
      <c r="RBF45" s="129"/>
      <c r="RBG45" s="128"/>
      <c r="RBH45" s="129"/>
      <c r="RBI45" s="128"/>
      <c r="RBJ45" s="129"/>
      <c r="RBK45" s="128"/>
      <c r="RBL45" s="129"/>
      <c r="RBM45" s="128"/>
      <c r="RBN45" s="129"/>
      <c r="RBO45" s="128"/>
      <c r="RBP45" s="129"/>
      <c r="RBQ45" s="128"/>
      <c r="RBR45" s="129"/>
      <c r="RBS45" s="128"/>
      <c r="RBT45" s="129"/>
      <c r="RBU45" s="128"/>
      <c r="RBV45" s="129"/>
      <c r="RBW45" s="128"/>
      <c r="RBX45" s="129"/>
      <c r="RBY45" s="128"/>
      <c r="RBZ45" s="129"/>
      <c r="RCA45" s="128"/>
      <c r="RCB45" s="129"/>
      <c r="RCC45" s="128"/>
      <c r="RCD45" s="129"/>
      <c r="RCE45" s="128"/>
      <c r="RCF45" s="129"/>
      <c r="RCG45" s="128"/>
      <c r="RCH45" s="129"/>
      <c r="RCI45" s="128"/>
      <c r="RCJ45" s="129"/>
      <c r="RCK45" s="128"/>
      <c r="RCL45" s="129"/>
      <c r="RCM45" s="128"/>
      <c r="RCN45" s="129"/>
      <c r="RCO45" s="128"/>
      <c r="RCP45" s="129"/>
      <c r="RCQ45" s="128"/>
      <c r="RCR45" s="129"/>
      <c r="RCS45" s="128"/>
      <c r="RCT45" s="129"/>
      <c r="RCU45" s="128"/>
      <c r="RCV45" s="129"/>
      <c r="RCW45" s="128"/>
      <c r="RCX45" s="129"/>
      <c r="RCY45" s="128"/>
      <c r="RCZ45" s="129"/>
      <c r="RDA45" s="128"/>
      <c r="RDB45" s="129"/>
      <c r="RDC45" s="128"/>
      <c r="RDD45" s="129"/>
      <c r="RDE45" s="128"/>
      <c r="RDF45" s="129"/>
      <c r="RDG45" s="128"/>
      <c r="RDH45" s="129"/>
      <c r="RDI45" s="128"/>
      <c r="RDJ45" s="129"/>
      <c r="RDK45" s="128"/>
      <c r="RDL45" s="129"/>
      <c r="RDM45" s="128"/>
      <c r="RDN45" s="129"/>
      <c r="RDO45" s="128"/>
      <c r="RDP45" s="129"/>
      <c r="RDQ45" s="128"/>
      <c r="RDR45" s="129"/>
      <c r="RDS45" s="128"/>
      <c r="RDT45" s="129"/>
      <c r="RDU45" s="128"/>
      <c r="RDV45" s="129"/>
      <c r="RDW45" s="128"/>
      <c r="RDX45" s="129"/>
      <c r="RDY45" s="128"/>
      <c r="RDZ45" s="129"/>
      <c r="REA45" s="128"/>
      <c r="REB45" s="129"/>
      <c r="REC45" s="128"/>
      <c r="RED45" s="129"/>
      <c r="REE45" s="128"/>
      <c r="REF45" s="129"/>
      <c r="REG45" s="128"/>
      <c r="REH45" s="129"/>
      <c r="REI45" s="128"/>
      <c r="REJ45" s="129"/>
      <c r="REK45" s="128"/>
      <c r="REL45" s="129"/>
      <c r="REM45" s="128"/>
      <c r="REN45" s="129"/>
      <c r="REO45" s="128"/>
      <c r="REP45" s="129"/>
      <c r="REQ45" s="128"/>
      <c r="RER45" s="129"/>
      <c r="RES45" s="128"/>
      <c r="RET45" s="129"/>
      <c r="REU45" s="128"/>
      <c r="REV45" s="129"/>
      <c r="REW45" s="128"/>
      <c r="REX45" s="129"/>
      <c r="REY45" s="128"/>
      <c r="REZ45" s="129"/>
      <c r="RFA45" s="128"/>
      <c r="RFB45" s="129"/>
      <c r="RFC45" s="128"/>
      <c r="RFD45" s="129"/>
      <c r="RFE45" s="128"/>
      <c r="RFF45" s="129"/>
      <c r="RFG45" s="128"/>
      <c r="RFH45" s="129"/>
      <c r="RFI45" s="128"/>
      <c r="RFJ45" s="129"/>
      <c r="RFK45" s="128"/>
      <c r="RFL45" s="129"/>
      <c r="RFM45" s="128"/>
      <c r="RFN45" s="129"/>
      <c r="RFO45" s="128"/>
      <c r="RFP45" s="129"/>
      <c r="RFQ45" s="128"/>
      <c r="RFR45" s="129"/>
      <c r="RFS45" s="128"/>
      <c r="RFT45" s="129"/>
      <c r="RFU45" s="128"/>
      <c r="RFV45" s="129"/>
      <c r="RFW45" s="128"/>
      <c r="RFX45" s="129"/>
      <c r="RFY45" s="128"/>
      <c r="RFZ45" s="129"/>
      <c r="RGA45" s="128"/>
      <c r="RGB45" s="129"/>
      <c r="RGC45" s="128"/>
      <c r="RGD45" s="129"/>
      <c r="RGE45" s="128"/>
      <c r="RGF45" s="129"/>
      <c r="RGG45" s="128"/>
      <c r="RGH45" s="129"/>
      <c r="RGI45" s="128"/>
      <c r="RGJ45" s="129"/>
      <c r="RGK45" s="128"/>
      <c r="RGL45" s="129"/>
      <c r="RGM45" s="128"/>
      <c r="RGN45" s="129"/>
      <c r="RGO45" s="128"/>
      <c r="RGP45" s="129"/>
      <c r="RGQ45" s="128"/>
      <c r="RGR45" s="129"/>
      <c r="RGS45" s="128"/>
      <c r="RGT45" s="129"/>
      <c r="RGU45" s="128"/>
      <c r="RGV45" s="129"/>
      <c r="RGW45" s="128"/>
      <c r="RGX45" s="129"/>
      <c r="RGY45" s="128"/>
      <c r="RGZ45" s="129"/>
      <c r="RHA45" s="128"/>
      <c r="RHB45" s="129"/>
      <c r="RHC45" s="128"/>
      <c r="RHD45" s="129"/>
      <c r="RHE45" s="128"/>
      <c r="RHF45" s="129"/>
      <c r="RHG45" s="128"/>
      <c r="RHH45" s="129"/>
      <c r="RHI45" s="128"/>
      <c r="RHJ45" s="129"/>
      <c r="RHK45" s="128"/>
      <c r="RHL45" s="129"/>
      <c r="RHM45" s="128"/>
      <c r="RHN45" s="129"/>
      <c r="RHO45" s="128"/>
      <c r="RHP45" s="129"/>
      <c r="RHQ45" s="128"/>
      <c r="RHR45" s="129"/>
      <c r="RHS45" s="128"/>
      <c r="RHT45" s="129"/>
      <c r="RHU45" s="128"/>
      <c r="RHV45" s="129"/>
      <c r="RHW45" s="128"/>
      <c r="RHX45" s="129"/>
      <c r="RHY45" s="128"/>
      <c r="RHZ45" s="129"/>
      <c r="RIA45" s="128"/>
      <c r="RIB45" s="129"/>
      <c r="RIC45" s="128"/>
      <c r="RID45" s="129"/>
      <c r="RIE45" s="128"/>
      <c r="RIF45" s="129"/>
      <c r="RIG45" s="128"/>
      <c r="RIH45" s="129"/>
      <c r="RII45" s="128"/>
      <c r="RIJ45" s="129"/>
      <c r="RIK45" s="128"/>
      <c r="RIL45" s="129"/>
      <c r="RIM45" s="128"/>
      <c r="RIN45" s="129"/>
      <c r="RIO45" s="128"/>
      <c r="RIP45" s="129"/>
      <c r="RIQ45" s="128"/>
      <c r="RIR45" s="129"/>
      <c r="RIS45" s="128"/>
      <c r="RIT45" s="129"/>
      <c r="RIU45" s="128"/>
      <c r="RIV45" s="129"/>
      <c r="RIW45" s="128"/>
      <c r="RIX45" s="129"/>
      <c r="RIY45" s="128"/>
      <c r="RIZ45" s="129"/>
      <c r="RJA45" s="128"/>
      <c r="RJB45" s="129"/>
      <c r="RJC45" s="128"/>
      <c r="RJD45" s="129"/>
      <c r="RJE45" s="128"/>
      <c r="RJF45" s="129"/>
      <c r="RJG45" s="128"/>
      <c r="RJH45" s="129"/>
      <c r="RJI45" s="128"/>
      <c r="RJJ45" s="129"/>
      <c r="RJK45" s="128"/>
      <c r="RJL45" s="129"/>
      <c r="RJM45" s="128"/>
      <c r="RJN45" s="129"/>
      <c r="RJO45" s="128"/>
      <c r="RJP45" s="129"/>
      <c r="RJQ45" s="128"/>
      <c r="RJR45" s="129"/>
      <c r="RJS45" s="128"/>
      <c r="RJT45" s="129"/>
      <c r="RJU45" s="128"/>
      <c r="RJV45" s="129"/>
      <c r="RJW45" s="128"/>
      <c r="RJX45" s="129"/>
      <c r="RJY45" s="128"/>
      <c r="RJZ45" s="129"/>
      <c r="RKA45" s="128"/>
      <c r="RKB45" s="129"/>
      <c r="RKC45" s="128"/>
      <c r="RKD45" s="129"/>
      <c r="RKE45" s="128"/>
      <c r="RKF45" s="129"/>
      <c r="RKG45" s="128"/>
      <c r="RKH45" s="129"/>
      <c r="RKI45" s="128"/>
      <c r="RKJ45" s="129"/>
      <c r="RKK45" s="128"/>
      <c r="RKL45" s="129"/>
      <c r="RKM45" s="128"/>
      <c r="RKN45" s="129"/>
      <c r="RKO45" s="128"/>
      <c r="RKP45" s="129"/>
      <c r="RKQ45" s="128"/>
      <c r="RKR45" s="129"/>
      <c r="RKS45" s="128"/>
      <c r="RKT45" s="129"/>
      <c r="RKU45" s="128"/>
      <c r="RKV45" s="129"/>
      <c r="RKW45" s="128"/>
      <c r="RKX45" s="129"/>
      <c r="RKY45" s="128"/>
      <c r="RKZ45" s="129"/>
      <c r="RLA45" s="128"/>
      <c r="RLB45" s="129"/>
      <c r="RLC45" s="128"/>
      <c r="RLD45" s="129"/>
      <c r="RLE45" s="128"/>
      <c r="RLF45" s="129"/>
      <c r="RLG45" s="128"/>
      <c r="RLH45" s="129"/>
      <c r="RLI45" s="128"/>
      <c r="RLJ45" s="129"/>
      <c r="RLK45" s="128"/>
      <c r="RLL45" s="129"/>
      <c r="RLM45" s="128"/>
      <c r="RLN45" s="129"/>
      <c r="RLO45" s="128"/>
      <c r="RLP45" s="129"/>
      <c r="RLQ45" s="128"/>
      <c r="RLR45" s="129"/>
      <c r="RLS45" s="128"/>
      <c r="RLT45" s="129"/>
      <c r="RLU45" s="128"/>
      <c r="RLV45" s="129"/>
      <c r="RLW45" s="128"/>
      <c r="RLX45" s="129"/>
      <c r="RLY45" s="128"/>
      <c r="RLZ45" s="129"/>
      <c r="RMA45" s="128"/>
      <c r="RMB45" s="129"/>
      <c r="RMC45" s="128"/>
      <c r="RMD45" s="129"/>
      <c r="RME45" s="128"/>
      <c r="RMF45" s="129"/>
      <c r="RMG45" s="128"/>
      <c r="RMH45" s="129"/>
      <c r="RMI45" s="128"/>
      <c r="RMJ45" s="129"/>
      <c r="RMK45" s="128"/>
      <c r="RML45" s="129"/>
      <c r="RMM45" s="128"/>
      <c r="RMN45" s="129"/>
      <c r="RMO45" s="128"/>
      <c r="RMP45" s="129"/>
      <c r="RMQ45" s="128"/>
      <c r="RMR45" s="129"/>
      <c r="RMS45" s="128"/>
      <c r="RMT45" s="129"/>
      <c r="RMU45" s="128"/>
      <c r="RMV45" s="129"/>
      <c r="RMW45" s="128"/>
      <c r="RMX45" s="129"/>
      <c r="RMY45" s="128"/>
      <c r="RMZ45" s="129"/>
      <c r="RNA45" s="128"/>
      <c r="RNB45" s="129"/>
      <c r="RNC45" s="128"/>
      <c r="RND45" s="129"/>
      <c r="RNE45" s="128"/>
      <c r="RNF45" s="129"/>
      <c r="RNG45" s="128"/>
      <c r="RNH45" s="129"/>
      <c r="RNI45" s="128"/>
      <c r="RNJ45" s="129"/>
      <c r="RNK45" s="128"/>
      <c r="RNL45" s="129"/>
      <c r="RNM45" s="128"/>
      <c r="RNN45" s="129"/>
      <c r="RNO45" s="128"/>
      <c r="RNP45" s="129"/>
      <c r="RNQ45" s="128"/>
      <c r="RNR45" s="129"/>
      <c r="RNS45" s="128"/>
      <c r="RNT45" s="129"/>
      <c r="RNU45" s="128"/>
      <c r="RNV45" s="129"/>
      <c r="RNW45" s="128"/>
      <c r="RNX45" s="129"/>
      <c r="RNY45" s="128"/>
      <c r="RNZ45" s="129"/>
      <c r="ROA45" s="128"/>
      <c r="ROB45" s="129"/>
      <c r="ROC45" s="128"/>
      <c r="ROD45" s="129"/>
      <c r="ROE45" s="128"/>
      <c r="ROF45" s="129"/>
      <c r="ROG45" s="128"/>
      <c r="ROH45" s="129"/>
      <c r="ROI45" s="128"/>
      <c r="ROJ45" s="129"/>
      <c r="ROK45" s="128"/>
      <c r="ROL45" s="129"/>
      <c r="ROM45" s="128"/>
      <c r="RON45" s="129"/>
      <c r="ROO45" s="128"/>
      <c r="ROP45" s="129"/>
      <c r="ROQ45" s="128"/>
      <c r="ROR45" s="129"/>
      <c r="ROS45" s="128"/>
      <c r="ROT45" s="129"/>
      <c r="ROU45" s="128"/>
      <c r="ROV45" s="129"/>
      <c r="ROW45" s="128"/>
      <c r="ROX45" s="129"/>
      <c r="ROY45" s="128"/>
      <c r="ROZ45" s="129"/>
      <c r="RPA45" s="128"/>
      <c r="RPB45" s="129"/>
      <c r="RPC45" s="128"/>
      <c r="RPD45" s="129"/>
      <c r="RPE45" s="128"/>
      <c r="RPF45" s="129"/>
      <c r="RPG45" s="128"/>
      <c r="RPH45" s="129"/>
      <c r="RPI45" s="128"/>
      <c r="RPJ45" s="129"/>
      <c r="RPK45" s="128"/>
      <c r="RPL45" s="129"/>
      <c r="RPM45" s="128"/>
      <c r="RPN45" s="129"/>
      <c r="RPO45" s="128"/>
      <c r="RPP45" s="129"/>
      <c r="RPQ45" s="128"/>
      <c r="RPR45" s="129"/>
      <c r="RPS45" s="128"/>
      <c r="RPT45" s="129"/>
      <c r="RPU45" s="128"/>
      <c r="RPV45" s="129"/>
      <c r="RPW45" s="128"/>
      <c r="RPX45" s="129"/>
      <c r="RPY45" s="128"/>
      <c r="RPZ45" s="129"/>
      <c r="RQA45" s="128"/>
      <c r="RQB45" s="129"/>
      <c r="RQC45" s="128"/>
      <c r="RQD45" s="129"/>
      <c r="RQE45" s="128"/>
      <c r="RQF45" s="129"/>
      <c r="RQG45" s="128"/>
      <c r="RQH45" s="129"/>
      <c r="RQI45" s="128"/>
      <c r="RQJ45" s="129"/>
      <c r="RQK45" s="128"/>
      <c r="RQL45" s="129"/>
      <c r="RQM45" s="128"/>
      <c r="RQN45" s="129"/>
      <c r="RQO45" s="128"/>
      <c r="RQP45" s="129"/>
      <c r="RQQ45" s="128"/>
      <c r="RQR45" s="129"/>
      <c r="RQS45" s="128"/>
      <c r="RQT45" s="129"/>
      <c r="RQU45" s="128"/>
      <c r="RQV45" s="129"/>
      <c r="RQW45" s="128"/>
      <c r="RQX45" s="129"/>
      <c r="RQY45" s="128"/>
      <c r="RQZ45" s="129"/>
      <c r="RRA45" s="128"/>
      <c r="RRB45" s="129"/>
      <c r="RRC45" s="128"/>
      <c r="RRD45" s="129"/>
      <c r="RRE45" s="128"/>
      <c r="RRF45" s="129"/>
      <c r="RRG45" s="128"/>
      <c r="RRH45" s="129"/>
      <c r="RRI45" s="128"/>
      <c r="RRJ45" s="129"/>
      <c r="RRK45" s="128"/>
      <c r="RRL45" s="129"/>
      <c r="RRM45" s="128"/>
      <c r="RRN45" s="129"/>
      <c r="RRO45" s="128"/>
      <c r="RRP45" s="129"/>
      <c r="RRQ45" s="128"/>
      <c r="RRR45" s="129"/>
      <c r="RRS45" s="128"/>
      <c r="RRT45" s="129"/>
      <c r="RRU45" s="128"/>
      <c r="RRV45" s="129"/>
      <c r="RRW45" s="128"/>
      <c r="RRX45" s="129"/>
      <c r="RRY45" s="128"/>
      <c r="RRZ45" s="129"/>
      <c r="RSA45" s="128"/>
      <c r="RSB45" s="129"/>
      <c r="RSC45" s="128"/>
      <c r="RSD45" s="129"/>
      <c r="RSE45" s="128"/>
      <c r="RSF45" s="129"/>
      <c r="RSG45" s="128"/>
      <c r="RSH45" s="129"/>
      <c r="RSI45" s="128"/>
      <c r="RSJ45" s="129"/>
      <c r="RSK45" s="128"/>
      <c r="RSL45" s="129"/>
      <c r="RSM45" s="128"/>
      <c r="RSN45" s="129"/>
      <c r="RSO45" s="128"/>
      <c r="RSP45" s="129"/>
      <c r="RSQ45" s="128"/>
      <c r="RSR45" s="129"/>
      <c r="RSS45" s="128"/>
      <c r="RST45" s="129"/>
      <c r="RSU45" s="128"/>
      <c r="RSV45" s="129"/>
      <c r="RSW45" s="128"/>
      <c r="RSX45" s="129"/>
      <c r="RSY45" s="128"/>
      <c r="RSZ45" s="129"/>
      <c r="RTA45" s="128"/>
      <c r="RTB45" s="129"/>
      <c r="RTC45" s="128"/>
      <c r="RTD45" s="129"/>
      <c r="RTE45" s="128"/>
      <c r="RTF45" s="129"/>
      <c r="RTG45" s="128"/>
      <c r="RTH45" s="129"/>
      <c r="RTI45" s="128"/>
      <c r="RTJ45" s="129"/>
      <c r="RTK45" s="128"/>
      <c r="RTL45" s="129"/>
      <c r="RTM45" s="128"/>
      <c r="RTN45" s="129"/>
      <c r="RTO45" s="128"/>
      <c r="RTP45" s="129"/>
      <c r="RTQ45" s="128"/>
      <c r="RTR45" s="129"/>
      <c r="RTS45" s="128"/>
      <c r="RTT45" s="129"/>
      <c r="RTU45" s="128"/>
      <c r="RTV45" s="129"/>
      <c r="RTW45" s="128"/>
      <c r="RTX45" s="129"/>
      <c r="RTY45" s="128"/>
      <c r="RTZ45" s="129"/>
      <c r="RUA45" s="128"/>
      <c r="RUB45" s="129"/>
      <c r="RUC45" s="128"/>
      <c r="RUD45" s="129"/>
      <c r="RUE45" s="128"/>
      <c r="RUF45" s="129"/>
      <c r="RUG45" s="128"/>
      <c r="RUH45" s="129"/>
      <c r="RUI45" s="128"/>
      <c r="RUJ45" s="129"/>
      <c r="RUK45" s="128"/>
      <c r="RUL45" s="129"/>
      <c r="RUM45" s="128"/>
      <c r="RUN45" s="129"/>
      <c r="RUO45" s="128"/>
      <c r="RUP45" s="129"/>
      <c r="RUQ45" s="128"/>
      <c r="RUR45" s="129"/>
      <c r="RUS45" s="128"/>
      <c r="RUT45" s="129"/>
      <c r="RUU45" s="128"/>
      <c r="RUV45" s="129"/>
      <c r="RUW45" s="128"/>
      <c r="RUX45" s="129"/>
      <c r="RUY45" s="128"/>
      <c r="RUZ45" s="129"/>
      <c r="RVA45" s="128"/>
      <c r="RVB45" s="129"/>
      <c r="RVC45" s="128"/>
      <c r="RVD45" s="129"/>
      <c r="RVE45" s="128"/>
      <c r="RVF45" s="129"/>
      <c r="RVG45" s="128"/>
      <c r="RVH45" s="129"/>
      <c r="RVI45" s="128"/>
      <c r="RVJ45" s="129"/>
      <c r="RVK45" s="128"/>
      <c r="RVL45" s="129"/>
      <c r="RVM45" s="128"/>
      <c r="RVN45" s="129"/>
      <c r="RVO45" s="128"/>
      <c r="RVP45" s="129"/>
      <c r="RVQ45" s="128"/>
      <c r="RVR45" s="129"/>
      <c r="RVS45" s="128"/>
      <c r="RVT45" s="129"/>
      <c r="RVU45" s="128"/>
      <c r="RVV45" s="129"/>
      <c r="RVW45" s="128"/>
      <c r="RVX45" s="129"/>
      <c r="RVY45" s="128"/>
      <c r="RVZ45" s="129"/>
      <c r="RWA45" s="128"/>
      <c r="RWB45" s="129"/>
      <c r="RWC45" s="128"/>
      <c r="RWD45" s="129"/>
      <c r="RWE45" s="128"/>
      <c r="RWF45" s="129"/>
      <c r="RWG45" s="128"/>
      <c r="RWH45" s="129"/>
      <c r="RWI45" s="128"/>
      <c r="RWJ45" s="129"/>
      <c r="RWK45" s="128"/>
      <c r="RWL45" s="129"/>
      <c r="RWM45" s="128"/>
      <c r="RWN45" s="129"/>
      <c r="RWO45" s="128"/>
      <c r="RWP45" s="129"/>
      <c r="RWQ45" s="128"/>
      <c r="RWR45" s="129"/>
      <c r="RWS45" s="128"/>
      <c r="RWT45" s="129"/>
      <c r="RWU45" s="128"/>
      <c r="RWV45" s="129"/>
      <c r="RWW45" s="128"/>
      <c r="RWX45" s="129"/>
      <c r="RWY45" s="128"/>
      <c r="RWZ45" s="129"/>
      <c r="RXA45" s="128"/>
      <c r="RXB45" s="129"/>
      <c r="RXC45" s="128"/>
      <c r="RXD45" s="129"/>
      <c r="RXE45" s="128"/>
      <c r="RXF45" s="129"/>
      <c r="RXG45" s="128"/>
      <c r="RXH45" s="129"/>
      <c r="RXI45" s="128"/>
      <c r="RXJ45" s="129"/>
      <c r="RXK45" s="128"/>
      <c r="RXL45" s="129"/>
      <c r="RXM45" s="128"/>
      <c r="RXN45" s="129"/>
      <c r="RXO45" s="128"/>
      <c r="RXP45" s="129"/>
      <c r="RXQ45" s="128"/>
      <c r="RXR45" s="129"/>
      <c r="RXS45" s="128"/>
      <c r="RXT45" s="129"/>
      <c r="RXU45" s="128"/>
      <c r="RXV45" s="129"/>
      <c r="RXW45" s="128"/>
      <c r="RXX45" s="129"/>
      <c r="RXY45" s="128"/>
      <c r="RXZ45" s="129"/>
      <c r="RYA45" s="128"/>
      <c r="RYB45" s="129"/>
      <c r="RYC45" s="128"/>
      <c r="RYD45" s="129"/>
      <c r="RYE45" s="128"/>
      <c r="RYF45" s="129"/>
      <c r="RYG45" s="128"/>
      <c r="RYH45" s="129"/>
      <c r="RYI45" s="128"/>
      <c r="RYJ45" s="129"/>
      <c r="RYK45" s="128"/>
      <c r="RYL45" s="129"/>
      <c r="RYM45" s="128"/>
      <c r="RYN45" s="129"/>
      <c r="RYO45" s="128"/>
      <c r="RYP45" s="129"/>
      <c r="RYQ45" s="128"/>
      <c r="RYR45" s="129"/>
      <c r="RYS45" s="128"/>
      <c r="RYT45" s="129"/>
      <c r="RYU45" s="128"/>
      <c r="RYV45" s="129"/>
      <c r="RYW45" s="128"/>
      <c r="RYX45" s="129"/>
      <c r="RYY45" s="128"/>
      <c r="RYZ45" s="129"/>
      <c r="RZA45" s="128"/>
      <c r="RZB45" s="129"/>
      <c r="RZC45" s="128"/>
      <c r="RZD45" s="129"/>
      <c r="RZE45" s="128"/>
      <c r="RZF45" s="129"/>
      <c r="RZG45" s="128"/>
      <c r="RZH45" s="129"/>
      <c r="RZI45" s="128"/>
      <c r="RZJ45" s="129"/>
      <c r="RZK45" s="128"/>
      <c r="RZL45" s="129"/>
      <c r="RZM45" s="128"/>
      <c r="RZN45" s="129"/>
      <c r="RZO45" s="128"/>
      <c r="RZP45" s="129"/>
      <c r="RZQ45" s="128"/>
      <c r="RZR45" s="129"/>
      <c r="RZS45" s="128"/>
      <c r="RZT45" s="129"/>
      <c r="RZU45" s="128"/>
      <c r="RZV45" s="129"/>
      <c r="RZW45" s="128"/>
      <c r="RZX45" s="129"/>
      <c r="RZY45" s="128"/>
      <c r="RZZ45" s="129"/>
      <c r="SAA45" s="128"/>
      <c r="SAB45" s="129"/>
      <c r="SAC45" s="128"/>
      <c r="SAD45" s="129"/>
      <c r="SAE45" s="128"/>
      <c r="SAF45" s="129"/>
      <c r="SAG45" s="128"/>
      <c r="SAH45" s="129"/>
      <c r="SAI45" s="128"/>
      <c r="SAJ45" s="129"/>
      <c r="SAK45" s="128"/>
      <c r="SAL45" s="129"/>
      <c r="SAM45" s="128"/>
      <c r="SAN45" s="129"/>
      <c r="SAO45" s="128"/>
      <c r="SAP45" s="129"/>
      <c r="SAQ45" s="128"/>
      <c r="SAR45" s="129"/>
      <c r="SAS45" s="128"/>
      <c r="SAT45" s="129"/>
      <c r="SAU45" s="128"/>
      <c r="SAV45" s="129"/>
      <c r="SAW45" s="128"/>
      <c r="SAX45" s="129"/>
      <c r="SAY45" s="128"/>
      <c r="SAZ45" s="129"/>
      <c r="SBA45" s="128"/>
      <c r="SBB45" s="129"/>
      <c r="SBC45" s="128"/>
      <c r="SBD45" s="129"/>
      <c r="SBE45" s="128"/>
      <c r="SBF45" s="129"/>
      <c r="SBG45" s="128"/>
      <c r="SBH45" s="129"/>
      <c r="SBI45" s="128"/>
      <c r="SBJ45" s="129"/>
      <c r="SBK45" s="128"/>
      <c r="SBL45" s="129"/>
      <c r="SBM45" s="128"/>
      <c r="SBN45" s="129"/>
      <c r="SBO45" s="128"/>
      <c r="SBP45" s="129"/>
      <c r="SBQ45" s="128"/>
      <c r="SBR45" s="129"/>
      <c r="SBS45" s="128"/>
      <c r="SBT45" s="129"/>
      <c r="SBU45" s="128"/>
      <c r="SBV45" s="129"/>
      <c r="SBW45" s="128"/>
      <c r="SBX45" s="129"/>
      <c r="SBY45" s="128"/>
      <c r="SBZ45" s="129"/>
      <c r="SCA45" s="128"/>
      <c r="SCB45" s="129"/>
      <c r="SCC45" s="128"/>
      <c r="SCD45" s="129"/>
      <c r="SCE45" s="128"/>
      <c r="SCF45" s="129"/>
      <c r="SCG45" s="128"/>
      <c r="SCH45" s="129"/>
      <c r="SCI45" s="128"/>
      <c r="SCJ45" s="129"/>
      <c r="SCK45" s="128"/>
      <c r="SCL45" s="129"/>
      <c r="SCM45" s="128"/>
      <c r="SCN45" s="129"/>
      <c r="SCO45" s="128"/>
      <c r="SCP45" s="129"/>
      <c r="SCQ45" s="128"/>
      <c r="SCR45" s="129"/>
      <c r="SCS45" s="128"/>
      <c r="SCT45" s="129"/>
      <c r="SCU45" s="128"/>
      <c r="SCV45" s="129"/>
      <c r="SCW45" s="128"/>
      <c r="SCX45" s="129"/>
      <c r="SCY45" s="128"/>
      <c r="SCZ45" s="129"/>
      <c r="SDA45" s="128"/>
      <c r="SDB45" s="129"/>
      <c r="SDC45" s="128"/>
      <c r="SDD45" s="129"/>
      <c r="SDE45" s="128"/>
      <c r="SDF45" s="129"/>
      <c r="SDG45" s="128"/>
      <c r="SDH45" s="129"/>
      <c r="SDI45" s="128"/>
      <c r="SDJ45" s="129"/>
      <c r="SDK45" s="128"/>
      <c r="SDL45" s="129"/>
      <c r="SDM45" s="128"/>
      <c r="SDN45" s="129"/>
      <c r="SDO45" s="128"/>
      <c r="SDP45" s="129"/>
      <c r="SDQ45" s="128"/>
      <c r="SDR45" s="129"/>
      <c r="SDS45" s="128"/>
      <c r="SDT45" s="129"/>
      <c r="SDU45" s="128"/>
      <c r="SDV45" s="129"/>
      <c r="SDW45" s="128"/>
      <c r="SDX45" s="129"/>
      <c r="SDY45" s="128"/>
      <c r="SDZ45" s="129"/>
      <c r="SEA45" s="128"/>
      <c r="SEB45" s="129"/>
      <c r="SEC45" s="128"/>
      <c r="SED45" s="129"/>
      <c r="SEE45" s="128"/>
      <c r="SEF45" s="129"/>
      <c r="SEG45" s="128"/>
      <c r="SEH45" s="129"/>
      <c r="SEI45" s="128"/>
      <c r="SEJ45" s="129"/>
      <c r="SEK45" s="128"/>
      <c r="SEL45" s="129"/>
      <c r="SEM45" s="128"/>
      <c r="SEN45" s="129"/>
      <c r="SEO45" s="128"/>
      <c r="SEP45" s="129"/>
      <c r="SEQ45" s="128"/>
      <c r="SER45" s="129"/>
      <c r="SES45" s="128"/>
      <c r="SET45" s="129"/>
      <c r="SEU45" s="128"/>
      <c r="SEV45" s="129"/>
      <c r="SEW45" s="128"/>
      <c r="SEX45" s="129"/>
      <c r="SEY45" s="128"/>
      <c r="SEZ45" s="129"/>
      <c r="SFA45" s="128"/>
      <c r="SFB45" s="129"/>
      <c r="SFC45" s="128"/>
      <c r="SFD45" s="129"/>
      <c r="SFE45" s="128"/>
      <c r="SFF45" s="129"/>
      <c r="SFG45" s="128"/>
      <c r="SFH45" s="129"/>
      <c r="SFI45" s="128"/>
      <c r="SFJ45" s="129"/>
      <c r="SFK45" s="128"/>
      <c r="SFL45" s="129"/>
      <c r="SFM45" s="128"/>
      <c r="SFN45" s="129"/>
      <c r="SFO45" s="128"/>
      <c r="SFP45" s="129"/>
      <c r="SFQ45" s="128"/>
      <c r="SFR45" s="129"/>
      <c r="SFS45" s="128"/>
      <c r="SFT45" s="129"/>
      <c r="SFU45" s="128"/>
      <c r="SFV45" s="129"/>
      <c r="SFW45" s="128"/>
      <c r="SFX45" s="129"/>
      <c r="SFY45" s="128"/>
      <c r="SFZ45" s="129"/>
      <c r="SGA45" s="128"/>
      <c r="SGB45" s="129"/>
      <c r="SGC45" s="128"/>
      <c r="SGD45" s="129"/>
      <c r="SGE45" s="128"/>
      <c r="SGF45" s="129"/>
      <c r="SGG45" s="128"/>
      <c r="SGH45" s="129"/>
      <c r="SGI45" s="128"/>
      <c r="SGJ45" s="129"/>
      <c r="SGK45" s="128"/>
      <c r="SGL45" s="129"/>
      <c r="SGM45" s="128"/>
      <c r="SGN45" s="129"/>
      <c r="SGO45" s="128"/>
      <c r="SGP45" s="129"/>
      <c r="SGQ45" s="128"/>
      <c r="SGR45" s="129"/>
      <c r="SGS45" s="128"/>
      <c r="SGT45" s="129"/>
      <c r="SGU45" s="128"/>
      <c r="SGV45" s="129"/>
      <c r="SGW45" s="128"/>
      <c r="SGX45" s="129"/>
      <c r="SGY45" s="128"/>
      <c r="SGZ45" s="129"/>
      <c r="SHA45" s="128"/>
      <c r="SHB45" s="129"/>
      <c r="SHC45" s="128"/>
      <c r="SHD45" s="129"/>
      <c r="SHE45" s="128"/>
      <c r="SHF45" s="129"/>
      <c r="SHG45" s="128"/>
      <c r="SHH45" s="129"/>
      <c r="SHI45" s="128"/>
      <c r="SHJ45" s="129"/>
      <c r="SHK45" s="128"/>
      <c r="SHL45" s="129"/>
      <c r="SHM45" s="128"/>
      <c r="SHN45" s="129"/>
      <c r="SHO45" s="128"/>
      <c r="SHP45" s="129"/>
      <c r="SHQ45" s="128"/>
      <c r="SHR45" s="129"/>
      <c r="SHS45" s="128"/>
      <c r="SHT45" s="129"/>
      <c r="SHU45" s="128"/>
      <c r="SHV45" s="129"/>
      <c r="SHW45" s="128"/>
      <c r="SHX45" s="129"/>
      <c r="SHY45" s="128"/>
      <c r="SHZ45" s="129"/>
      <c r="SIA45" s="128"/>
      <c r="SIB45" s="129"/>
      <c r="SIC45" s="128"/>
      <c r="SID45" s="129"/>
      <c r="SIE45" s="128"/>
      <c r="SIF45" s="129"/>
      <c r="SIG45" s="128"/>
      <c r="SIH45" s="129"/>
      <c r="SII45" s="128"/>
      <c r="SIJ45" s="129"/>
      <c r="SIK45" s="128"/>
      <c r="SIL45" s="129"/>
      <c r="SIM45" s="128"/>
      <c r="SIN45" s="129"/>
      <c r="SIO45" s="128"/>
      <c r="SIP45" s="129"/>
      <c r="SIQ45" s="128"/>
      <c r="SIR45" s="129"/>
      <c r="SIS45" s="128"/>
      <c r="SIT45" s="129"/>
      <c r="SIU45" s="128"/>
      <c r="SIV45" s="129"/>
      <c r="SIW45" s="128"/>
      <c r="SIX45" s="129"/>
      <c r="SIY45" s="128"/>
      <c r="SIZ45" s="129"/>
      <c r="SJA45" s="128"/>
      <c r="SJB45" s="129"/>
      <c r="SJC45" s="128"/>
      <c r="SJD45" s="129"/>
      <c r="SJE45" s="128"/>
      <c r="SJF45" s="129"/>
      <c r="SJG45" s="128"/>
      <c r="SJH45" s="129"/>
      <c r="SJI45" s="128"/>
      <c r="SJJ45" s="129"/>
      <c r="SJK45" s="128"/>
      <c r="SJL45" s="129"/>
      <c r="SJM45" s="128"/>
      <c r="SJN45" s="129"/>
      <c r="SJO45" s="128"/>
      <c r="SJP45" s="129"/>
      <c r="SJQ45" s="128"/>
      <c r="SJR45" s="129"/>
      <c r="SJS45" s="128"/>
      <c r="SJT45" s="129"/>
      <c r="SJU45" s="128"/>
      <c r="SJV45" s="129"/>
      <c r="SJW45" s="128"/>
      <c r="SJX45" s="129"/>
      <c r="SJY45" s="128"/>
      <c r="SJZ45" s="129"/>
      <c r="SKA45" s="128"/>
      <c r="SKB45" s="129"/>
      <c r="SKC45" s="128"/>
      <c r="SKD45" s="129"/>
      <c r="SKE45" s="128"/>
      <c r="SKF45" s="129"/>
      <c r="SKG45" s="128"/>
      <c r="SKH45" s="129"/>
      <c r="SKI45" s="128"/>
      <c r="SKJ45" s="129"/>
      <c r="SKK45" s="128"/>
      <c r="SKL45" s="129"/>
      <c r="SKM45" s="128"/>
      <c r="SKN45" s="129"/>
      <c r="SKO45" s="128"/>
      <c r="SKP45" s="129"/>
      <c r="SKQ45" s="128"/>
      <c r="SKR45" s="129"/>
      <c r="SKS45" s="128"/>
      <c r="SKT45" s="129"/>
      <c r="SKU45" s="128"/>
      <c r="SKV45" s="129"/>
      <c r="SKW45" s="128"/>
      <c r="SKX45" s="129"/>
      <c r="SKY45" s="128"/>
      <c r="SKZ45" s="129"/>
      <c r="SLA45" s="128"/>
      <c r="SLB45" s="129"/>
      <c r="SLC45" s="128"/>
      <c r="SLD45" s="129"/>
      <c r="SLE45" s="128"/>
      <c r="SLF45" s="129"/>
      <c r="SLG45" s="128"/>
      <c r="SLH45" s="129"/>
      <c r="SLI45" s="128"/>
      <c r="SLJ45" s="129"/>
      <c r="SLK45" s="128"/>
      <c r="SLL45" s="129"/>
      <c r="SLM45" s="128"/>
      <c r="SLN45" s="129"/>
      <c r="SLO45" s="128"/>
      <c r="SLP45" s="129"/>
      <c r="SLQ45" s="128"/>
      <c r="SLR45" s="129"/>
      <c r="SLS45" s="128"/>
      <c r="SLT45" s="129"/>
      <c r="SLU45" s="128"/>
      <c r="SLV45" s="129"/>
      <c r="SLW45" s="128"/>
      <c r="SLX45" s="129"/>
      <c r="SLY45" s="128"/>
      <c r="SLZ45" s="129"/>
      <c r="SMA45" s="128"/>
      <c r="SMB45" s="129"/>
      <c r="SMC45" s="128"/>
      <c r="SMD45" s="129"/>
      <c r="SME45" s="128"/>
      <c r="SMF45" s="129"/>
      <c r="SMG45" s="128"/>
      <c r="SMH45" s="129"/>
      <c r="SMI45" s="128"/>
      <c r="SMJ45" s="129"/>
      <c r="SMK45" s="128"/>
      <c r="SML45" s="129"/>
      <c r="SMM45" s="128"/>
      <c r="SMN45" s="129"/>
      <c r="SMO45" s="128"/>
      <c r="SMP45" s="129"/>
      <c r="SMQ45" s="128"/>
      <c r="SMR45" s="129"/>
      <c r="SMS45" s="128"/>
      <c r="SMT45" s="129"/>
      <c r="SMU45" s="128"/>
      <c r="SMV45" s="129"/>
      <c r="SMW45" s="128"/>
      <c r="SMX45" s="129"/>
      <c r="SMY45" s="128"/>
      <c r="SMZ45" s="129"/>
      <c r="SNA45" s="128"/>
      <c r="SNB45" s="129"/>
      <c r="SNC45" s="128"/>
      <c r="SND45" s="129"/>
      <c r="SNE45" s="128"/>
      <c r="SNF45" s="129"/>
      <c r="SNG45" s="128"/>
      <c r="SNH45" s="129"/>
      <c r="SNI45" s="128"/>
      <c r="SNJ45" s="129"/>
      <c r="SNK45" s="128"/>
      <c r="SNL45" s="129"/>
      <c r="SNM45" s="128"/>
      <c r="SNN45" s="129"/>
      <c r="SNO45" s="128"/>
      <c r="SNP45" s="129"/>
      <c r="SNQ45" s="128"/>
      <c r="SNR45" s="129"/>
      <c r="SNS45" s="128"/>
      <c r="SNT45" s="129"/>
      <c r="SNU45" s="128"/>
      <c r="SNV45" s="129"/>
      <c r="SNW45" s="128"/>
      <c r="SNX45" s="129"/>
      <c r="SNY45" s="128"/>
      <c r="SNZ45" s="129"/>
      <c r="SOA45" s="128"/>
      <c r="SOB45" s="129"/>
      <c r="SOC45" s="128"/>
      <c r="SOD45" s="129"/>
      <c r="SOE45" s="128"/>
      <c r="SOF45" s="129"/>
      <c r="SOG45" s="128"/>
      <c r="SOH45" s="129"/>
      <c r="SOI45" s="128"/>
      <c r="SOJ45" s="129"/>
      <c r="SOK45" s="128"/>
      <c r="SOL45" s="129"/>
      <c r="SOM45" s="128"/>
      <c r="SON45" s="129"/>
      <c r="SOO45" s="128"/>
      <c r="SOP45" s="129"/>
      <c r="SOQ45" s="128"/>
      <c r="SOR45" s="129"/>
      <c r="SOS45" s="128"/>
      <c r="SOT45" s="129"/>
      <c r="SOU45" s="128"/>
      <c r="SOV45" s="129"/>
      <c r="SOW45" s="128"/>
      <c r="SOX45" s="129"/>
      <c r="SOY45" s="128"/>
      <c r="SOZ45" s="129"/>
      <c r="SPA45" s="128"/>
      <c r="SPB45" s="129"/>
      <c r="SPC45" s="128"/>
      <c r="SPD45" s="129"/>
      <c r="SPE45" s="128"/>
      <c r="SPF45" s="129"/>
      <c r="SPG45" s="128"/>
      <c r="SPH45" s="129"/>
      <c r="SPI45" s="128"/>
      <c r="SPJ45" s="129"/>
      <c r="SPK45" s="128"/>
      <c r="SPL45" s="129"/>
      <c r="SPM45" s="128"/>
      <c r="SPN45" s="129"/>
      <c r="SPO45" s="128"/>
      <c r="SPP45" s="129"/>
      <c r="SPQ45" s="128"/>
      <c r="SPR45" s="129"/>
      <c r="SPS45" s="128"/>
      <c r="SPT45" s="129"/>
      <c r="SPU45" s="128"/>
      <c r="SPV45" s="129"/>
      <c r="SPW45" s="128"/>
      <c r="SPX45" s="129"/>
      <c r="SPY45" s="128"/>
      <c r="SPZ45" s="129"/>
      <c r="SQA45" s="128"/>
      <c r="SQB45" s="129"/>
      <c r="SQC45" s="128"/>
      <c r="SQD45" s="129"/>
      <c r="SQE45" s="128"/>
      <c r="SQF45" s="129"/>
      <c r="SQG45" s="128"/>
      <c r="SQH45" s="129"/>
      <c r="SQI45" s="128"/>
      <c r="SQJ45" s="129"/>
      <c r="SQK45" s="128"/>
      <c r="SQL45" s="129"/>
      <c r="SQM45" s="128"/>
      <c r="SQN45" s="129"/>
      <c r="SQO45" s="128"/>
      <c r="SQP45" s="129"/>
      <c r="SQQ45" s="128"/>
      <c r="SQR45" s="129"/>
      <c r="SQS45" s="128"/>
      <c r="SQT45" s="129"/>
      <c r="SQU45" s="128"/>
      <c r="SQV45" s="129"/>
      <c r="SQW45" s="128"/>
      <c r="SQX45" s="129"/>
      <c r="SQY45" s="128"/>
      <c r="SQZ45" s="129"/>
      <c r="SRA45" s="128"/>
      <c r="SRB45" s="129"/>
      <c r="SRC45" s="128"/>
      <c r="SRD45" s="129"/>
      <c r="SRE45" s="128"/>
      <c r="SRF45" s="129"/>
      <c r="SRG45" s="128"/>
      <c r="SRH45" s="129"/>
      <c r="SRI45" s="128"/>
      <c r="SRJ45" s="129"/>
      <c r="SRK45" s="128"/>
      <c r="SRL45" s="129"/>
      <c r="SRM45" s="128"/>
      <c r="SRN45" s="129"/>
      <c r="SRO45" s="128"/>
      <c r="SRP45" s="129"/>
      <c r="SRQ45" s="128"/>
      <c r="SRR45" s="129"/>
      <c r="SRS45" s="128"/>
      <c r="SRT45" s="129"/>
      <c r="SRU45" s="128"/>
      <c r="SRV45" s="129"/>
      <c r="SRW45" s="128"/>
      <c r="SRX45" s="129"/>
      <c r="SRY45" s="128"/>
      <c r="SRZ45" s="129"/>
      <c r="SSA45" s="128"/>
      <c r="SSB45" s="129"/>
      <c r="SSC45" s="128"/>
      <c r="SSD45" s="129"/>
      <c r="SSE45" s="128"/>
      <c r="SSF45" s="129"/>
      <c r="SSG45" s="128"/>
      <c r="SSH45" s="129"/>
      <c r="SSI45" s="128"/>
      <c r="SSJ45" s="129"/>
      <c r="SSK45" s="128"/>
      <c r="SSL45" s="129"/>
      <c r="SSM45" s="128"/>
      <c r="SSN45" s="129"/>
      <c r="SSO45" s="128"/>
      <c r="SSP45" s="129"/>
      <c r="SSQ45" s="128"/>
      <c r="SSR45" s="129"/>
      <c r="SSS45" s="128"/>
      <c r="SST45" s="129"/>
      <c r="SSU45" s="128"/>
      <c r="SSV45" s="129"/>
      <c r="SSW45" s="128"/>
      <c r="SSX45" s="129"/>
      <c r="SSY45" s="128"/>
      <c r="SSZ45" s="129"/>
      <c r="STA45" s="128"/>
      <c r="STB45" s="129"/>
      <c r="STC45" s="128"/>
      <c r="STD45" s="129"/>
      <c r="STE45" s="128"/>
      <c r="STF45" s="129"/>
      <c r="STG45" s="128"/>
      <c r="STH45" s="129"/>
      <c r="STI45" s="128"/>
      <c r="STJ45" s="129"/>
      <c r="STK45" s="128"/>
      <c r="STL45" s="129"/>
      <c r="STM45" s="128"/>
      <c r="STN45" s="129"/>
      <c r="STO45" s="128"/>
      <c r="STP45" s="129"/>
      <c r="STQ45" s="128"/>
      <c r="STR45" s="129"/>
      <c r="STS45" s="128"/>
      <c r="STT45" s="129"/>
      <c r="STU45" s="128"/>
      <c r="STV45" s="129"/>
      <c r="STW45" s="128"/>
      <c r="STX45" s="129"/>
      <c r="STY45" s="128"/>
      <c r="STZ45" s="129"/>
      <c r="SUA45" s="128"/>
      <c r="SUB45" s="129"/>
      <c r="SUC45" s="128"/>
      <c r="SUD45" s="129"/>
      <c r="SUE45" s="128"/>
      <c r="SUF45" s="129"/>
      <c r="SUG45" s="128"/>
      <c r="SUH45" s="129"/>
      <c r="SUI45" s="128"/>
      <c r="SUJ45" s="129"/>
      <c r="SUK45" s="128"/>
      <c r="SUL45" s="129"/>
      <c r="SUM45" s="128"/>
      <c r="SUN45" s="129"/>
      <c r="SUO45" s="128"/>
      <c r="SUP45" s="129"/>
      <c r="SUQ45" s="128"/>
      <c r="SUR45" s="129"/>
      <c r="SUS45" s="128"/>
      <c r="SUT45" s="129"/>
      <c r="SUU45" s="128"/>
      <c r="SUV45" s="129"/>
      <c r="SUW45" s="128"/>
      <c r="SUX45" s="129"/>
      <c r="SUY45" s="128"/>
      <c r="SUZ45" s="129"/>
      <c r="SVA45" s="128"/>
      <c r="SVB45" s="129"/>
      <c r="SVC45" s="128"/>
      <c r="SVD45" s="129"/>
      <c r="SVE45" s="128"/>
      <c r="SVF45" s="129"/>
      <c r="SVG45" s="128"/>
      <c r="SVH45" s="129"/>
      <c r="SVI45" s="128"/>
      <c r="SVJ45" s="129"/>
      <c r="SVK45" s="128"/>
      <c r="SVL45" s="129"/>
      <c r="SVM45" s="128"/>
      <c r="SVN45" s="129"/>
      <c r="SVO45" s="128"/>
      <c r="SVP45" s="129"/>
      <c r="SVQ45" s="128"/>
      <c r="SVR45" s="129"/>
      <c r="SVS45" s="128"/>
      <c r="SVT45" s="129"/>
      <c r="SVU45" s="128"/>
      <c r="SVV45" s="129"/>
      <c r="SVW45" s="128"/>
      <c r="SVX45" s="129"/>
      <c r="SVY45" s="128"/>
      <c r="SVZ45" s="129"/>
      <c r="SWA45" s="128"/>
      <c r="SWB45" s="129"/>
      <c r="SWC45" s="128"/>
      <c r="SWD45" s="129"/>
      <c r="SWE45" s="128"/>
      <c r="SWF45" s="129"/>
      <c r="SWG45" s="128"/>
      <c r="SWH45" s="129"/>
      <c r="SWI45" s="128"/>
      <c r="SWJ45" s="129"/>
      <c r="SWK45" s="128"/>
      <c r="SWL45" s="129"/>
      <c r="SWM45" s="128"/>
      <c r="SWN45" s="129"/>
      <c r="SWO45" s="128"/>
      <c r="SWP45" s="129"/>
      <c r="SWQ45" s="128"/>
      <c r="SWR45" s="129"/>
      <c r="SWS45" s="128"/>
      <c r="SWT45" s="129"/>
      <c r="SWU45" s="128"/>
      <c r="SWV45" s="129"/>
      <c r="SWW45" s="128"/>
      <c r="SWX45" s="129"/>
      <c r="SWY45" s="128"/>
      <c r="SWZ45" s="129"/>
      <c r="SXA45" s="128"/>
      <c r="SXB45" s="129"/>
      <c r="SXC45" s="128"/>
      <c r="SXD45" s="129"/>
      <c r="SXE45" s="128"/>
      <c r="SXF45" s="129"/>
      <c r="SXG45" s="128"/>
      <c r="SXH45" s="129"/>
      <c r="SXI45" s="128"/>
      <c r="SXJ45" s="129"/>
      <c r="SXK45" s="128"/>
      <c r="SXL45" s="129"/>
      <c r="SXM45" s="128"/>
      <c r="SXN45" s="129"/>
      <c r="SXO45" s="128"/>
      <c r="SXP45" s="129"/>
      <c r="SXQ45" s="128"/>
      <c r="SXR45" s="129"/>
      <c r="SXS45" s="128"/>
      <c r="SXT45" s="129"/>
      <c r="SXU45" s="128"/>
      <c r="SXV45" s="129"/>
      <c r="SXW45" s="128"/>
      <c r="SXX45" s="129"/>
      <c r="SXY45" s="128"/>
      <c r="SXZ45" s="129"/>
      <c r="SYA45" s="128"/>
      <c r="SYB45" s="129"/>
      <c r="SYC45" s="128"/>
      <c r="SYD45" s="129"/>
      <c r="SYE45" s="128"/>
      <c r="SYF45" s="129"/>
      <c r="SYG45" s="128"/>
      <c r="SYH45" s="129"/>
      <c r="SYI45" s="128"/>
      <c r="SYJ45" s="129"/>
      <c r="SYK45" s="128"/>
      <c r="SYL45" s="129"/>
      <c r="SYM45" s="128"/>
      <c r="SYN45" s="129"/>
      <c r="SYO45" s="128"/>
      <c r="SYP45" s="129"/>
      <c r="SYQ45" s="128"/>
      <c r="SYR45" s="129"/>
      <c r="SYS45" s="128"/>
      <c r="SYT45" s="129"/>
      <c r="SYU45" s="128"/>
      <c r="SYV45" s="129"/>
      <c r="SYW45" s="128"/>
      <c r="SYX45" s="129"/>
      <c r="SYY45" s="128"/>
      <c r="SYZ45" s="129"/>
      <c r="SZA45" s="128"/>
      <c r="SZB45" s="129"/>
      <c r="SZC45" s="128"/>
      <c r="SZD45" s="129"/>
      <c r="SZE45" s="128"/>
      <c r="SZF45" s="129"/>
      <c r="SZG45" s="128"/>
      <c r="SZH45" s="129"/>
      <c r="SZI45" s="128"/>
      <c r="SZJ45" s="129"/>
      <c r="SZK45" s="128"/>
      <c r="SZL45" s="129"/>
      <c r="SZM45" s="128"/>
      <c r="SZN45" s="129"/>
      <c r="SZO45" s="128"/>
      <c r="SZP45" s="129"/>
      <c r="SZQ45" s="128"/>
      <c r="SZR45" s="129"/>
      <c r="SZS45" s="128"/>
      <c r="SZT45" s="129"/>
      <c r="SZU45" s="128"/>
      <c r="SZV45" s="129"/>
      <c r="SZW45" s="128"/>
      <c r="SZX45" s="129"/>
      <c r="SZY45" s="128"/>
      <c r="SZZ45" s="129"/>
      <c r="TAA45" s="128"/>
      <c r="TAB45" s="129"/>
      <c r="TAC45" s="128"/>
      <c r="TAD45" s="129"/>
      <c r="TAE45" s="128"/>
      <c r="TAF45" s="129"/>
      <c r="TAG45" s="128"/>
      <c r="TAH45" s="129"/>
      <c r="TAI45" s="128"/>
      <c r="TAJ45" s="129"/>
      <c r="TAK45" s="128"/>
      <c r="TAL45" s="129"/>
      <c r="TAM45" s="128"/>
      <c r="TAN45" s="129"/>
      <c r="TAO45" s="128"/>
      <c r="TAP45" s="129"/>
      <c r="TAQ45" s="128"/>
      <c r="TAR45" s="129"/>
      <c r="TAS45" s="128"/>
      <c r="TAT45" s="129"/>
      <c r="TAU45" s="128"/>
      <c r="TAV45" s="129"/>
      <c r="TAW45" s="128"/>
      <c r="TAX45" s="129"/>
      <c r="TAY45" s="128"/>
      <c r="TAZ45" s="129"/>
      <c r="TBA45" s="128"/>
      <c r="TBB45" s="129"/>
      <c r="TBC45" s="128"/>
      <c r="TBD45" s="129"/>
      <c r="TBE45" s="128"/>
      <c r="TBF45" s="129"/>
      <c r="TBG45" s="128"/>
      <c r="TBH45" s="129"/>
      <c r="TBI45" s="128"/>
      <c r="TBJ45" s="129"/>
      <c r="TBK45" s="128"/>
      <c r="TBL45" s="129"/>
      <c r="TBM45" s="128"/>
      <c r="TBN45" s="129"/>
      <c r="TBO45" s="128"/>
      <c r="TBP45" s="129"/>
      <c r="TBQ45" s="128"/>
      <c r="TBR45" s="129"/>
      <c r="TBS45" s="128"/>
      <c r="TBT45" s="129"/>
      <c r="TBU45" s="128"/>
      <c r="TBV45" s="129"/>
      <c r="TBW45" s="128"/>
      <c r="TBX45" s="129"/>
      <c r="TBY45" s="128"/>
      <c r="TBZ45" s="129"/>
      <c r="TCA45" s="128"/>
      <c r="TCB45" s="129"/>
      <c r="TCC45" s="128"/>
      <c r="TCD45" s="129"/>
      <c r="TCE45" s="128"/>
      <c r="TCF45" s="129"/>
      <c r="TCG45" s="128"/>
      <c r="TCH45" s="129"/>
      <c r="TCI45" s="128"/>
      <c r="TCJ45" s="129"/>
      <c r="TCK45" s="128"/>
      <c r="TCL45" s="129"/>
      <c r="TCM45" s="128"/>
      <c r="TCN45" s="129"/>
      <c r="TCO45" s="128"/>
      <c r="TCP45" s="129"/>
      <c r="TCQ45" s="128"/>
      <c r="TCR45" s="129"/>
      <c r="TCS45" s="128"/>
      <c r="TCT45" s="129"/>
      <c r="TCU45" s="128"/>
      <c r="TCV45" s="129"/>
      <c r="TCW45" s="128"/>
      <c r="TCX45" s="129"/>
      <c r="TCY45" s="128"/>
      <c r="TCZ45" s="129"/>
      <c r="TDA45" s="128"/>
      <c r="TDB45" s="129"/>
      <c r="TDC45" s="128"/>
      <c r="TDD45" s="129"/>
      <c r="TDE45" s="128"/>
      <c r="TDF45" s="129"/>
      <c r="TDG45" s="128"/>
      <c r="TDH45" s="129"/>
      <c r="TDI45" s="128"/>
      <c r="TDJ45" s="129"/>
      <c r="TDK45" s="128"/>
      <c r="TDL45" s="129"/>
      <c r="TDM45" s="128"/>
      <c r="TDN45" s="129"/>
      <c r="TDO45" s="128"/>
      <c r="TDP45" s="129"/>
      <c r="TDQ45" s="128"/>
      <c r="TDR45" s="129"/>
      <c r="TDS45" s="128"/>
      <c r="TDT45" s="129"/>
      <c r="TDU45" s="128"/>
      <c r="TDV45" s="129"/>
      <c r="TDW45" s="128"/>
      <c r="TDX45" s="129"/>
      <c r="TDY45" s="128"/>
      <c r="TDZ45" s="129"/>
      <c r="TEA45" s="128"/>
      <c r="TEB45" s="129"/>
      <c r="TEC45" s="128"/>
      <c r="TED45" s="129"/>
      <c r="TEE45" s="128"/>
      <c r="TEF45" s="129"/>
      <c r="TEG45" s="128"/>
      <c r="TEH45" s="129"/>
      <c r="TEI45" s="128"/>
      <c r="TEJ45" s="129"/>
      <c r="TEK45" s="128"/>
      <c r="TEL45" s="129"/>
      <c r="TEM45" s="128"/>
      <c r="TEN45" s="129"/>
      <c r="TEO45" s="128"/>
      <c r="TEP45" s="129"/>
      <c r="TEQ45" s="128"/>
      <c r="TER45" s="129"/>
      <c r="TES45" s="128"/>
      <c r="TET45" s="129"/>
      <c r="TEU45" s="128"/>
      <c r="TEV45" s="129"/>
      <c r="TEW45" s="128"/>
      <c r="TEX45" s="129"/>
      <c r="TEY45" s="128"/>
      <c r="TEZ45" s="129"/>
      <c r="TFA45" s="128"/>
      <c r="TFB45" s="129"/>
      <c r="TFC45" s="128"/>
      <c r="TFD45" s="129"/>
      <c r="TFE45" s="128"/>
      <c r="TFF45" s="129"/>
      <c r="TFG45" s="128"/>
      <c r="TFH45" s="129"/>
      <c r="TFI45" s="128"/>
      <c r="TFJ45" s="129"/>
      <c r="TFK45" s="128"/>
      <c r="TFL45" s="129"/>
      <c r="TFM45" s="128"/>
      <c r="TFN45" s="129"/>
      <c r="TFO45" s="128"/>
      <c r="TFP45" s="129"/>
      <c r="TFQ45" s="128"/>
      <c r="TFR45" s="129"/>
      <c r="TFS45" s="128"/>
      <c r="TFT45" s="129"/>
      <c r="TFU45" s="128"/>
      <c r="TFV45" s="129"/>
      <c r="TFW45" s="128"/>
      <c r="TFX45" s="129"/>
      <c r="TFY45" s="128"/>
      <c r="TFZ45" s="129"/>
      <c r="TGA45" s="128"/>
      <c r="TGB45" s="129"/>
      <c r="TGC45" s="128"/>
      <c r="TGD45" s="129"/>
      <c r="TGE45" s="128"/>
      <c r="TGF45" s="129"/>
      <c r="TGG45" s="128"/>
      <c r="TGH45" s="129"/>
      <c r="TGI45" s="128"/>
      <c r="TGJ45" s="129"/>
      <c r="TGK45" s="128"/>
      <c r="TGL45" s="129"/>
      <c r="TGM45" s="128"/>
      <c r="TGN45" s="129"/>
      <c r="TGO45" s="128"/>
      <c r="TGP45" s="129"/>
      <c r="TGQ45" s="128"/>
      <c r="TGR45" s="129"/>
      <c r="TGS45" s="128"/>
      <c r="TGT45" s="129"/>
      <c r="TGU45" s="128"/>
      <c r="TGV45" s="129"/>
      <c r="TGW45" s="128"/>
      <c r="TGX45" s="129"/>
      <c r="TGY45" s="128"/>
      <c r="TGZ45" s="129"/>
      <c r="THA45" s="128"/>
      <c r="THB45" s="129"/>
      <c r="THC45" s="128"/>
      <c r="THD45" s="129"/>
      <c r="THE45" s="128"/>
      <c r="THF45" s="129"/>
      <c r="THG45" s="128"/>
      <c r="THH45" s="129"/>
      <c r="THI45" s="128"/>
      <c r="THJ45" s="129"/>
      <c r="THK45" s="128"/>
      <c r="THL45" s="129"/>
      <c r="THM45" s="128"/>
      <c r="THN45" s="129"/>
      <c r="THO45" s="128"/>
      <c r="THP45" s="129"/>
      <c r="THQ45" s="128"/>
      <c r="THR45" s="129"/>
      <c r="THS45" s="128"/>
      <c r="THT45" s="129"/>
      <c r="THU45" s="128"/>
      <c r="THV45" s="129"/>
      <c r="THW45" s="128"/>
      <c r="THX45" s="129"/>
      <c r="THY45" s="128"/>
      <c r="THZ45" s="129"/>
      <c r="TIA45" s="128"/>
      <c r="TIB45" s="129"/>
      <c r="TIC45" s="128"/>
      <c r="TID45" s="129"/>
      <c r="TIE45" s="128"/>
      <c r="TIF45" s="129"/>
      <c r="TIG45" s="128"/>
      <c r="TIH45" s="129"/>
      <c r="TII45" s="128"/>
      <c r="TIJ45" s="129"/>
      <c r="TIK45" s="128"/>
      <c r="TIL45" s="129"/>
      <c r="TIM45" s="128"/>
      <c r="TIN45" s="129"/>
      <c r="TIO45" s="128"/>
      <c r="TIP45" s="129"/>
      <c r="TIQ45" s="128"/>
      <c r="TIR45" s="129"/>
      <c r="TIS45" s="128"/>
      <c r="TIT45" s="129"/>
      <c r="TIU45" s="128"/>
      <c r="TIV45" s="129"/>
      <c r="TIW45" s="128"/>
      <c r="TIX45" s="129"/>
      <c r="TIY45" s="128"/>
      <c r="TIZ45" s="129"/>
      <c r="TJA45" s="128"/>
      <c r="TJB45" s="129"/>
      <c r="TJC45" s="128"/>
      <c r="TJD45" s="129"/>
      <c r="TJE45" s="128"/>
      <c r="TJF45" s="129"/>
      <c r="TJG45" s="128"/>
      <c r="TJH45" s="129"/>
      <c r="TJI45" s="128"/>
      <c r="TJJ45" s="129"/>
      <c r="TJK45" s="128"/>
      <c r="TJL45" s="129"/>
      <c r="TJM45" s="128"/>
      <c r="TJN45" s="129"/>
      <c r="TJO45" s="128"/>
      <c r="TJP45" s="129"/>
      <c r="TJQ45" s="128"/>
      <c r="TJR45" s="129"/>
      <c r="TJS45" s="128"/>
      <c r="TJT45" s="129"/>
      <c r="TJU45" s="128"/>
      <c r="TJV45" s="129"/>
      <c r="TJW45" s="128"/>
      <c r="TJX45" s="129"/>
      <c r="TJY45" s="128"/>
      <c r="TJZ45" s="129"/>
      <c r="TKA45" s="128"/>
      <c r="TKB45" s="129"/>
      <c r="TKC45" s="128"/>
      <c r="TKD45" s="129"/>
      <c r="TKE45" s="128"/>
      <c r="TKF45" s="129"/>
      <c r="TKG45" s="128"/>
      <c r="TKH45" s="129"/>
      <c r="TKI45" s="128"/>
      <c r="TKJ45" s="129"/>
      <c r="TKK45" s="128"/>
      <c r="TKL45" s="129"/>
      <c r="TKM45" s="128"/>
      <c r="TKN45" s="129"/>
      <c r="TKO45" s="128"/>
      <c r="TKP45" s="129"/>
      <c r="TKQ45" s="128"/>
      <c r="TKR45" s="129"/>
      <c r="TKS45" s="128"/>
      <c r="TKT45" s="129"/>
      <c r="TKU45" s="128"/>
      <c r="TKV45" s="129"/>
      <c r="TKW45" s="128"/>
      <c r="TKX45" s="129"/>
      <c r="TKY45" s="128"/>
      <c r="TKZ45" s="129"/>
      <c r="TLA45" s="128"/>
      <c r="TLB45" s="129"/>
      <c r="TLC45" s="128"/>
      <c r="TLD45" s="129"/>
      <c r="TLE45" s="128"/>
      <c r="TLF45" s="129"/>
      <c r="TLG45" s="128"/>
      <c r="TLH45" s="129"/>
      <c r="TLI45" s="128"/>
      <c r="TLJ45" s="129"/>
      <c r="TLK45" s="128"/>
      <c r="TLL45" s="129"/>
      <c r="TLM45" s="128"/>
      <c r="TLN45" s="129"/>
      <c r="TLO45" s="128"/>
      <c r="TLP45" s="129"/>
      <c r="TLQ45" s="128"/>
      <c r="TLR45" s="129"/>
      <c r="TLS45" s="128"/>
      <c r="TLT45" s="129"/>
      <c r="TLU45" s="128"/>
      <c r="TLV45" s="129"/>
      <c r="TLW45" s="128"/>
      <c r="TLX45" s="129"/>
      <c r="TLY45" s="128"/>
      <c r="TLZ45" s="129"/>
      <c r="TMA45" s="128"/>
      <c r="TMB45" s="129"/>
      <c r="TMC45" s="128"/>
      <c r="TMD45" s="129"/>
      <c r="TME45" s="128"/>
      <c r="TMF45" s="129"/>
      <c r="TMG45" s="128"/>
      <c r="TMH45" s="129"/>
      <c r="TMI45" s="128"/>
      <c r="TMJ45" s="129"/>
      <c r="TMK45" s="128"/>
      <c r="TML45" s="129"/>
      <c r="TMM45" s="128"/>
      <c r="TMN45" s="129"/>
      <c r="TMO45" s="128"/>
      <c r="TMP45" s="129"/>
      <c r="TMQ45" s="128"/>
      <c r="TMR45" s="129"/>
      <c r="TMS45" s="128"/>
      <c r="TMT45" s="129"/>
      <c r="TMU45" s="128"/>
      <c r="TMV45" s="129"/>
      <c r="TMW45" s="128"/>
      <c r="TMX45" s="129"/>
      <c r="TMY45" s="128"/>
      <c r="TMZ45" s="129"/>
      <c r="TNA45" s="128"/>
      <c r="TNB45" s="129"/>
      <c r="TNC45" s="128"/>
      <c r="TND45" s="129"/>
      <c r="TNE45" s="128"/>
      <c r="TNF45" s="129"/>
      <c r="TNG45" s="128"/>
      <c r="TNH45" s="129"/>
      <c r="TNI45" s="128"/>
      <c r="TNJ45" s="129"/>
      <c r="TNK45" s="128"/>
      <c r="TNL45" s="129"/>
      <c r="TNM45" s="128"/>
      <c r="TNN45" s="129"/>
      <c r="TNO45" s="128"/>
      <c r="TNP45" s="129"/>
      <c r="TNQ45" s="128"/>
      <c r="TNR45" s="129"/>
      <c r="TNS45" s="128"/>
      <c r="TNT45" s="129"/>
      <c r="TNU45" s="128"/>
      <c r="TNV45" s="129"/>
      <c r="TNW45" s="128"/>
      <c r="TNX45" s="129"/>
      <c r="TNY45" s="128"/>
      <c r="TNZ45" s="129"/>
      <c r="TOA45" s="128"/>
      <c r="TOB45" s="129"/>
      <c r="TOC45" s="128"/>
      <c r="TOD45" s="129"/>
      <c r="TOE45" s="128"/>
      <c r="TOF45" s="129"/>
      <c r="TOG45" s="128"/>
      <c r="TOH45" s="129"/>
      <c r="TOI45" s="128"/>
      <c r="TOJ45" s="129"/>
      <c r="TOK45" s="128"/>
      <c r="TOL45" s="129"/>
      <c r="TOM45" s="128"/>
      <c r="TON45" s="129"/>
      <c r="TOO45" s="128"/>
      <c r="TOP45" s="129"/>
      <c r="TOQ45" s="128"/>
      <c r="TOR45" s="129"/>
      <c r="TOS45" s="128"/>
      <c r="TOT45" s="129"/>
      <c r="TOU45" s="128"/>
      <c r="TOV45" s="129"/>
      <c r="TOW45" s="128"/>
      <c r="TOX45" s="129"/>
      <c r="TOY45" s="128"/>
      <c r="TOZ45" s="129"/>
      <c r="TPA45" s="128"/>
      <c r="TPB45" s="129"/>
      <c r="TPC45" s="128"/>
      <c r="TPD45" s="129"/>
      <c r="TPE45" s="128"/>
      <c r="TPF45" s="129"/>
      <c r="TPG45" s="128"/>
      <c r="TPH45" s="129"/>
      <c r="TPI45" s="128"/>
      <c r="TPJ45" s="129"/>
      <c r="TPK45" s="128"/>
      <c r="TPL45" s="129"/>
      <c r="TPM45" s="128"/>
      <c r="TPN45" s="129"/>
      <c r="TPO45" s="128"/>
      <c r="TPP45" s="129"/>
      <c r="TPQ45" s="128"/>
      <c r="TPR45" s="129"/>
      <c r="TPS45" s="128"/>
      <c r="TPT45" s="129"/>
      <c r="TPU45" s="128"/>
      <c r="TPV45" s="129"/>
      <c r="TPW45" s="128"/>
      <c r="TPX45" s="129"/>
      <c r="TPY45" s="128"/>
      <c r="TPZ45" s="129"/>
      <c r="TQA45" s="128"/>
      <c r="TQB45" s="129"/>
      <c r="TQC45" s="128"/>
      <c r="TQD45" s="129"/>
      <c r="TQE45" s="128"/>
      <c r="TQF45" s="129"/>
      <c r="TQG45" s="128"/>
      <c r="TQH45" s="129"/>
      <c r="TQI45" s="128"/>
      <c r="TQJ45" s="129"/>
      <c r="TQK45" s="128"/>
      <c r="TQL45" s="129"/>
      <c r="TQM45" s="128"/>
      <c r="TQN45" s="129"/>
      <c r="TQO45" s="128"/>
      <c r="TQP45" s="129"/>
      <c r="TQQ45" s="128"/>
      <c r="TQR45" s="129"/>
      <c r="TQS45" s="128"/>
      <c r="TQT45" s="129"/>
      <c r="TQU45" s="128"/>
      <c r="TQV45" s="129"/>
      <c r="TQW45" s="128"/>
      <c r="TQX45" s="129"/>
      <c r="TQY45" s="128"/>
      <c r="TQZ45" s="129"/>
      <c r="TRA45" s="128"/>
      <c r="TRB45" s="129"/>
      <c r="TRC45" s="128"/>
      <c r="TRD45" s="129"/>
      <c r="TRE45" s="128"/>
      <c r="TRF45" s="129"/>
      <c r="TRG45" s="128"/>
      <c r="TRH45" s="129"/>
      <c r="TRI45" s="128"/>
      <c r="TRJ45" s="129"/>
      <c r="TRK45" s="128"/>
      <c r="TRL45" s="129"/>
      <c r="TRM45" s="128"/>
      <c r="TRN45" s="129"/>
      <c r="TRO45" s="128"/>
      <c r="TRP45" s="129"/>
      <c r="TRQ45" s="128"/>
      <c r="TRR45" s="129"/>
      <c r="TRS45" s="128"/>
      <c r="TRT45" s="129"/>
      <c r="TRU45" s="128"/>
      <c r="TRV45" s="129"/>
      <c r="TRW45" s="128"/>
      <c r="TRX45" s="129"/>
      <c r="TRY45" s="128"/>
      <c r="TRZ45" s="129"/>
      <c r="TSA45" s="128"/>
      <c r="TSB45" s="129"/>
      <c r="TSC45" s="128"/>
      <c r="TSD45" s="129"/>
      <c r="TSE45" s="128"/>
      <c r="TSF45" s="129"/>
      <c r="TSG45" s="128"/>
      <c r="TSH45" s="129"/>
      <c r="TSI45" s="128"/>
      <c r="TSJ45" s="129"/>
      <c r="TSK45" s="128"/>
      <c r="TSL45" s="129"/>
      <c r="TSM45" s="128"/>
      <c r="TSN45" s="129"/>
      <c r="TSO45" s="128"/>
      <c r="TSP45" s="129"/>
      <c r="TSQ45" s="128"/>
      <c r="TSR45" s="129"/>
      <c r="TSS45" s="128"/>
      <c r="TST45" s="129"/>
      <c r="TSU45" s="128"/>
      <c r="TSV45" s="129"/>
      <c r="TSW45" s="128"/>
      <c r="TSX45" s="129"/>
      <c r="TSY45" s="128"/>
      <c r="TSZ45" s="129"/>
      <c r="TTA45" s="128"/>
      <c r="TTB45" s="129"/>
      <c r="TTC45" s="128"/>
      <c r="TTD45" s="129"/>
      <c r="TTE45" s="128"/>
      <c r="TTF45" s="129"/>
      <c r="TTG45" s="128"/>
      <c r="TTH45" s="129"/>
      <c r="TTI45" s="128"/>
      <c r="TTJ45" s="129"/>
      <c r="TTK45" s="128"/>
      <c r="TTL45" s="129"/>
      <c r="TTM45" s="128"/>
      <c r="TTN45" s="129"/>
      <c r="TTO45" s="128"/>
      <c r="TTP45" s="129"/>
      <c r="TTQ45" s="128"/>
      <c r="TTR45" s="129"/>
      <c r="TTS45" s="128"/>
      <c r="TTT45" s="129"/>
      <c r="TTU45" s="128"/>
      <c r="TTV45" s="129"/>
      <c r="TTW45" s="128"/>
      <c r="TTX45" s="129"/>
      <c r="TTY45" s="128"/>
      <c r="TTZ45" s="129"/>
      <c r="TUA45" s="128"/>
      <c r="TUB45" s="129"/>
      <c r="TUC45" s="128"/>
      <c r="TUD45" s="129"/>
      <c r="TUE45" s="128"/>
      <c r="TUF45" s="129"/>
      <c r="TUG45" s="128"/>
      <c r="TUH45" s="129"/>
      <c r="TUI45" s="128"/>
      <c r="TUJ45" s="129"/>
      <c r="TUK45" s="128"/>
      <c r="TUL45" s="129"/>
      <c r="TUM45" s="128"/>
      <c r="TUN45" s="129"/>
      <c r="TUO45" s="128"/>
      <c r="TUP45" s="129"/>
      <c r="TUQ45" s="128"/>
      <c r="TUR45" s="129"/>
      <c r="TUS45" s="128"/>
      <c r="TUT45" s="129"/>
      <c r="TUU45" s="128"/>
      <c r="TUV45" s="129"/>
      <c r="TUW45" s="128"/>
      <c r="TUX45" s="129"/>
      <c r="TUY45" s="128"/>
      <c r="TUZ45" s="129"/>
      <c r="TVA45" s="128"/>
      <c r="TVB45" s="129"/>
      <c r="TVC45" s="128"/>
      <c r="TVD45" s="129"/>
      <c r="TVE45" s="128"/>
      <c r="TVF45" s="129"/>
      <c r="TVG45" s="128"/>
      <c r="TVH45" s="129"/>
      <c r="TVI45" s="128"/>
      <c r="TVJ45" s="129"/>
      <c r="TVK45" s="128"/>
      <c r="TVL45" s="129"/>
      <c r="TVM45" s="128"/>
      <c r="TVN45" s="129"/>
      <c r="TVO45" s="128"/>
      <c r="TVP45" s="129"/>
      <c r="TVQ45" s="128"/>
      <c r="TVR45" s="129"/>
      <c r="TVS45" s="128"/>
      <c r="TVT45" s="129"/>
      <c r="TVU45" s="128"/>
      <c r="TVV45" s="129"/>
      <c r="TVW45" s="128"/>
      <c r="TVX45" s="129"/>
      <c r="TVY45" s="128"/>
      <c r="TVZ45" s="129"/>
      <c r="TWA45" s="128"/>
      <c r="TWB45" s="129"/>
      <c r="TWC45" s="128"/>
      <c r="TWD45" s="129"/>
      <c r="TWE45" s="128"/>
      <c r="TWF45" s="129"/>
      <c r="TWG45" s="128"/>
      <c r="TWH45" s="129"/>
      <c r="TWI45" s="128"/>
      <c r="TWJ45" s="129"/>
      <c r="TWK45" s="128"/>
      <c r="TWL45" s="129"/>
      <c r="TWM45" s="128"/>
      <c r="TWN45" s="129"/>
      <c r="TWO45" s="128"/>
      <c r="TWP45" s="129"/>
      <c r="TWQ45" s="128"/>
      <c r="TWR45" s="129"/>
      <c r="TWS45" s="128"/>
      <c r="TWT45" s="129"/>
      <c r="TWU45" s="128"/>
      <c r="TWV45" s="129"/>
      <c r="TWW45" s="128"/>
      <c r="TWX45" s="129"/>
      <c r="TWY45" s="128"/>
      <c r="TWZ45" s="129"/>
      <c r="TXA45" s="128"/>
      <c r="TXB45" s="129"/>
      <c r="TXC45" s="128"/>
      <c r="TXD45" s="129"/>
      <c r="TXE45" s="128"/>
      <c r="TXF45" s="129"/>
      <c r="TXG45" s="128"/>
      <c r="TXH45" s="129"/>
      <c r="TXI45" s="128"/>
      <c r="TXJ45" s="129"/>
      <c r="TXK45" s="128"/>
      <c r="TXL45" s="129"/>
      <c r="TXM45" s="128"/>
      <c r="TXN45" s="129"/>
      <c r="TXO45" s="128"/>
      <c r="TXP45" s="129"/>
      <c r="TXQ45" s="128"/>
      <c r="TXR45" s="129"/>
      <c r="TXS45" s="128"/>
      <c r="TXT45" s="129"/>
      <c r="TXU45" s="128"/>
      <c r="TXV45" s="129"/>
      <c r="TXW45" s="128"/>
      <c r="TXX45" s="129"/>
      <c r="TXY45" s="128"/>
      <c r="TXZ45" s="129"/>
      <c r="TYA45" s="128"/>
      <c r="TYB45" s="129"/>
      <c r="TYC45" s="128"/>
      <c r="TYD45" s="129"/>
      <c r="TYE45" s="128"/>
      <c r="TYF45" s="129"/>
      <c r="TYG45" s="128"/>
      <c r="TYH45" s="129"/>
      <c r="TYI45" s="128"/>
      <c r="TYJ45" s="129"/>
      <c r="TYK45" s="128"/>
      <c r="TYL45" s="129"/>
      <c r="TYM45" s="128"/>
      <c r="TYN45" s="129"/>
      <c r="TYO45" s="128"/>
      <c r="TYP45" s="129"/>
      <c r="TYQ45" s="128"/>
      <c r="TYR45" s="129"/>
      <c r="TYS45" s="128"/>
      <c r="TYT45" s="129"/>
      <c r="TYU45" s="128"/>
      <c r="TYV45" s="129"/>
      <c r="TYW45" s="128"/>
      <c r="TYX45" s="129"/>
      <c r="TYY45" s="128"/>
      <c r="TYZ45" s="129"/>
      <c r="TZA45" s="128"/>
      <c r="TZB45" s="129"/>
      <c r="TZC45" s="128"/>
      <c r="TZD45" s="129"/>
      <c r="TZE45" s="128"/>
      <c r="TZF45" s="129"/>
      <c r="TZG45" s="128"/>
      <c r="TZH45" s="129"/>
      <c r="TZI45" s="128"/>
      <c r="TZJ45" s="129"/>
      <c r="TZK45" s="128"/>
      <c r="TZL45" s="129"/>
      <c r="TZM45" s="128"/>
      <c r="TZN45" s="129"/>
      <c r="TZO45" s="128"/>
      <c r="TZP45" s="129"/>
      <c r="TZQ45" s="128"/>
      <c r="TZR45" s="129"/>
      <c r="TZS45" s="128"/>
      <c r="TZT45" s="129"/>
      <c r="TZU45" s="128"/>
      <c r="TZV45" s="129"/>
      <c r="TZW45" s="128"/>
      <c r="TZX45" s="129"/>
      <c r="TZY45" s="128"/>
      <c r="TZZ45" s="129"/>
      <c r="UAA45" s="128"/>
      <c r="UAB45" s="129"/>
      <c r="UAC45" s="128"/>
      <c r="UAD45" s="129"/>
      <c r="UAE45" s="128"/>
      <c r="UAF45" s="129"/>
      <c r="UAG45" s="128"/>
      <c r="UAH45" s="129"/>
      <c r="UAI45" s="128"/>
      <c r="UAJ45" s="129"/>
      <c r="UAK45" s="128"/>
      <c r="UAL45" s="129"/>
      <c r="UAM45" s="128"/>
      <c r="UAN45" s="129"/>
      <c r="UAO45" s="128"/>
      <c r="UAP45" s="129"/>
      <c r="UAQ45" s="128"/>
      <c r="UAR45" s="129"/>
      <c r="UAS45" s="128"/>
      <c r="UAT45" s="129"/>
      <c r="UAU45" s="128"/>
      <c r="UAV45" s="129"/>
      <c r="UAW45" s="128"/>
      <c r="UAX45" s="129"/>
      <c r="UAY45" s="128"/>
      <c r="UAZ45" s="129"/>
      <c r="UBA45" s="128"/>
      <c r="UBB45" s="129"/>
      <c r="UBC45" s="128"/>
      <c r="UBD45" s="129"/>
      <c r="UBE45" s="128"/>
      <c r="UBF45" s="129"/>
      <c r="UBG45" s="128"/>
      <c r="UBH45" s="129"/>
      <c r="UBI45" s="128"/>
      <c r="UBJ45" s="129"/>
      <c r="UBK45" s="128"/>
      <c r="UBL45" s="129"/>
      <c r="UBM45" s="128"/>
      <c r="UBN45" s="129"/>
      <c r="UBO45" s="128"/>
      <c r="UBP45" s="129"/>
      <c r="UBQ45" s="128"/>
      <c r="UBR45" s="129"/>
      <c r="UBS45" s="128"/>
      <c r="UBT45" s="129"/>
      <c r="UBU45" s="128"/>
      <c r="UBV45" s="129"/>
      <c r="UBW45" s="128"/>
      <c r="UBX45" s="129"/>
      <c r="UBY45" s="128"/>
      <c r="UBZ45" s="129"/>
      <c r="UCA45" s="128"/>
      <c r="UCB45" s="129"/>
      <c r="UCC45" s="128"/>
      <c r="UCD45" s="129"/>
      <c r="UCE45" s="128"/>
      <c r="UCF45" s="129"/>
      <c r="UCG45" s="128"/>
      <c r="UCH45" s="129"/>
      <c r="UCI45" s="128"/>
      <c r="UCJ45" s="129"/>
      <c r="UCK45" s="128"/>
      <c r="UCL45" s="129"/>
      <c r="UCM45" s="128"/>
      <c r="UCN45" s="129"/>
      <c r="UCO45" s="128"/>
      <c r="UCP45" s="129"/>
      <c r="UCQ45" s="128"/>
      <c r="UCR45" s="129"/>
      <c r="UCS45" s="128"/>
      <c r="UCT45" s="129"/>
      <c r="UCU45" s="128"/>
      <c r="UCV45" s="129"/>
      <c r="UCW45" s="128"/>
      <c r="UCX45" s="129"/>
      <c r="UCY45" s="128"/>
      <c r="UCZ45" s="129"/>
      <c r="UDA45" s="128"/>
      <c r="UDB45" s="129"/>
      <c r="UDC45" s="128"/>
      <c r="UDD45" s="129"/>
      <c r="UDE45" s="128"/>
      <c r="UDF45" s="129"/>
      <c r="UDG45" s="128"/>
      <c r="UDH45" s="129"/>
      <c r="UDI45" s="128"/>
      <c r="UDJ45" s="129"/>
      <c r="UDK45" s="128"/>
      <c r="UDL45" s="129"/>
      <c r="UDM45" s="128"/>
      <c r="UDN45" s="129"/>
      <c r="UDO45" s="128"/>
      <c r="UDP45" s="129"/>
      <c r="UDQ45" s="128"/>
      <c r="UDR45" s="129"/>
      <c r="UDS45" s="128"/>
      <c r="UDT45" s="129"/>
      <c r="UDU45" s="128"/>
      <c r="UDV45" s="129"/>
      <c r="UDW45" s="128"/>
      <c r="UDX45" s="129"/>
      <c r="UDY45" s="128"/>
      <c r="UDZ45" s="129"/>
      <c r="UEA45" s="128"/>
      <c r="UEB45" s="129"/>
      <c r="UEC45" s="128"/>
      <c r="UED45" s="129"/>
      <c r="UEE45" s="128"/>
      <c r="UEF45" s="129"/>
      <c r="UEG45" s="128"/>
      <c r="UEH45" s="129"/>
      <c r="UEI45" s="128"/>
      <c r="UEJ45" s="129"/>
      <c r="UEK45" s="128"/>
      <c r="UEL45" s="129"/>
      <c r="UEM45" s="128"/>
      <c r="UEN45" s="129"/>
      <c r="UEO45" s="128"/>
      <c r="UEP45" s="129"/>
      <c r="UEQ45" s="128"/>
      <c r="UER45" s="129"/>
      <c r="UES45" s="128"/>
      <c r="UET45" s="129"/>
      <c r="UEU45" s="128"/>
      <c r="UEV45" s="129"/>
      <c r="UEW45" s="128"/>
      <c r="UEX45" s="129"/>
      <c r="UEY45" s="128"/>
      <c r="UEZ45" s="129"/>
      <c r="UFA45" s="128"/>
      <c r="UFB45" s="129"/>
      <c r="UFC45" s="128"/>
      <c r="UFD45" s="129"/>
      <c r="UFE45" s="128"/>
      <c r="UFF45" s="129"/>
      <c r="UFG45" s="128"/>
      <c r="UFH45" s="129"/>
      <c r="UFI45" s="128"/>
      <c r="UFJ45" s="129"/>
      <c r="UFK45" s="128"/>
      <c r="UFL45" s="129"/>
      <c r="UFM45" s="128"/>
      <c r="UFN45" s="129"/>
      <c r="UFO45" s="128"/>
      <c r="UFP45" s="129"/>
      <c r="UFQ45" s="128"/>
      <c r="UFR45" s="129"/>
      <c r="UFS45" s="128"/>
      <c r="UFT45" s="129"/>
      <c r="UFU45" s="128"/>
      <c r="UFV45" s="129"/>
      <c r="UFW45" s="128"/>
      <c r="UFX45" s="129"/>
      <c r="UFY45" s="128"/>
      <c r="UFZ45" s="129"/>
      <c r="UGA45" s="128"/>
      <c r="UGB45" s="129"/>
      <c r="UGC45" s="128"/>
      <c r="UGD45" s="129"/>
      <c r="UGE45" s="128"/>
      <c r="UGF45" s="129"/>
      <c r="UGG45" s="128"/>
      <c r="UGH45" s="129"/>
      <c r="UGI45" s="128"/>
      <c r="UGJ45" s="129"/>
      <c r="UGK45" s="128"/>
      <c r="UGL45" s="129"/>
      <c r="UGM45" s="128"/>
      <c r="UGN45" s="129"/>
      <c r="UGO45" s="128"/>
      <c r="UGP45" s="129"/>
      <c r="UGQ45" s="128"/>
      <c r="UGR45" s="129"/>
      <c r="UGS45" s="128"/>
      <c r="UGT45" s="129"/>
      <c r="UGU45" s="128"/>
      <c r="UGV45" s="129"/>
      <c r="UGW45" s="128"/>
      <c r="UGX45" s="129"/>
      <c r="UGY45" s="128"/>
      <c r="UGZ45" s="129"/>
      <c r="UHA45" s="128"/>
      <c r="UHB45" s="129"/>
      <c r="UHC45" s="128"/>
      <c r="UHD45" s="129"/>
      <c r="UHE45" s="128"/>
      <c r="UHF45" s="129"/>
      <c r="UHG45" s="128"/>
      <c r="UHH45" s="129"/>
      <c r="UHI45" s="128"/>
      <c r="UHJ45" s="129"/>
      <c r="UHK45" s="128"/>
      <c r="UHL45" s="129"/>
      <c r="UHM45" s="128"/>
      <c r="UHN45" s="129"/>
      <c r="UHO45" s="128"/>
      <c r="UHP45" s="129"/>
      <c r="UHQ45" s="128"/>
      <c r="UHR45" s="129"/>
      <c r="UHS45" s="128"/>
      <c r="UHT45" s="129"/>
      <c r="UHU45" s="128"/>
      <c r="UHV45" s="129"/>
      <c r="UHW45" s="128"/>
      <c r="UHX45" s="129"/>
      <c r="UHY45" s="128"/>
      <c r="UHZ45" s="129"/>
      <c r="UIA45" s="128"/>
      <c r="UIB45" s="129"/>
      <c r="UIC45" s="128"/>
      <c r="UID45" s="129"/>
      <c r="UIE45" s="128"/>
      <c r="UIF45" s="129"/>
      <c r="UIG45" s="128"/>
      <c r="UIH45" s="129"/>
      <c r="UII45" s="128"/>
      <c r="UIJ45" s="129"/>
      <c r="UIK45" s="128"/>
      <c r="UIL45" s="129"/>
      <c r="UIM45" s="128"/>
      <c r="UIN45" s="129"/>
      <c r="UIO45" s="128"/>
      <c r="UIP45" s="129"/>
      <c r="UIQ45" s="128"/>
      <c r="UIR45" s="129"/>
      <c r="UIS45" s="128"/>
      <c r="UIT45" s="129"/>
      <c r="UIU45" s="128"/>
      <c r="UIV45" s="129"/>
      <c r="UIW45" s="128"/>
      <c r="UIX45" s="129"/>
      <c r="UIY45" s="128"/>
      <c r="UIZ45" s="129"/>
      <c r="UJA45" s="128"/>
      <c r="UJB45" s="129"/>
      <c r="UJC45" s="128"/>
      <c r="UJD45" s="129"/>
      <c r="UJE45" s="128"/>
      <c r="UJF45" s="129"/>
      <c r="UJG45" s="128"/>
      <c r="UJH45" s="129"/>
      <c r="UJI45" s="128"/>
      <c r="UJJ45" s="129"/>
      <c r="UJK45" s="128"/>
      <c r="UJL45" s="129"/>
      <c r="UJM45" s="128"/>
      <c r="UJN45" s="129"/>
      <c r="UJO45" s="128"/>
      <c r="UJP45" s="129"/>
      <c r="UJQ45" s="128"/>
      <c r="UJR45" s="129"/>
      <c r="UJS45" s="128"/>
      <c r="UJT45" s="129"/>
      <c r="UJU45" s="128"/>
      <c r="UJV45" s="129"/>
      <c r="UJW45" s="128"/>
      <c r="UJX45" s="129"/>
      <c r="UJY45" s="128"/>
      <c r="UJZ45" s="129"/>
      <c r="UKA45" s="128"/>
      <c r="UKB45" s="129"/>
      <c r="UKC45" s="128"/>
      <c r="UKD45" s="129"/>
      <c r="UKE45" s="128"/>
      <c r="UKF45" s="129"/>
      <c r="UKG45" s="128"/>
      <c r="UKH45" s="129"/>
      <c r="UKI45" s="128"/>
      <c r="UKJ45" s="129"/>
      <c r="UKK45" s="128"/>
      <c r="UKL45" s="129"/>
      <c r="UKM45" s="128"/>
      <c r="UKN45" s="129"/>
      <c r="UKO45" s="128"/>
      <c r="UKP45" s="129"/>
      <c r="UKQ45" s="128"/>
      <c r="UKR45" s="129"/>
      <c r="UKS45" s="128"/>
      <c r="UKT45" s="129"/>
      <c r="UKU45" s="128"/>
      <c r="UKV45" s="129"/>
      <c r="UKW45" s="128"/>
      <c r="UKX45" s="129"/>
      <c r="UKY45" s="128"/>
      <c r="UKZ45" s="129"/>
      <c r="ULA45" s="128"/>
      <c r="ULB45" s="129"/>
      <c r="ULC45" s="128"/>
      <c r="ULD45" s="129"/>
      <c r="ULE45" s="128"/>
      <c r="ULF45" s="129"/>
      <c r="ULG45" s="128"/>
      <c r="ULH45" s="129"/>
      <c r="ULI45" s="128"/>
      <c r="ULJ45" s="129"/>
      <c r="ULK45" s="128"/>
      <c r="ULL45" s="129"/>
      <c r="ULM45" s="128"/>
      <c r="ULN45" s="129"/>
      <c r="ULO45" s="128"/>
      <c r="ULP45" s="129"/>
      <c r="ULQ45" s="128"/>
      <c r="ULR45" s="129"/>
      <c r="ULS45" s="128"/>
      <c r="ULT45" s="129"/>
      <c r="ULU45" s="128"/>
      <c r="ULV45" s="129"/>
      <c r="ULW45" s="128"/>
      <c r="ULX45" s="129"/>
      <c r="ULY45" s="128"/>
      <c r="ULZ45" s="129"/>
      <c r="UMA45" s="128"/>
      <c r="UMB45" s="129"/>
      <c r="UMC45" s="128"/>
      <c r="UMD45" s="129"/>
      <c r="UME45" s="128"/>
      <c r="UMF45" s="129"/>
      <c r="UMG45" s="128"/>
      <c r="UMH45" s="129"/>
      <c r="UMI45" s="128"/>
      <c r="UMJ45" s="129"/>
      <c r="UMK45" s="128"/>
      <c r="UML45" s="129"/>
      <c r="UMM45" s="128"/>
      <c r="UMN45" s="129"/>
      <c r="UMO45" s="128"/>
      <c r="UMP45" s="129"/>
      <c r="UMQ45" s="128"/>
      <c r="UMR45" s="129"/>
      <c r="UMS45" s="128"/>
      <c r="UMT45" s="129"/>
      <c r="UMU45" s="128"/>
      <c r="UMV45" s="129"/>
      <c r="UMW45" s="128"/>
      <c r="UMX45" s="129"/>
      <c r="UMY45" s="128"/>
      <c r="UMZ45" s="129"/>
      <c r="UNA45" s="128"/>
      <c r="UNB45" s="129"/>
      <c r="UNC45" s="128"/>
      <c r="UND45" s="129"/>
      <c r="UNE45" s="128"/>
      <c r="UNF45" s="129"/>
      <c r="UNG45" s="128"/>
      <c r="UNH45" s="129"/>
      <c r="UNI45" s="128"/>
      <c r="UNJ45" s="129"/>
      <c r="UNK45" s="128"/>
      <c r="UNL45" s="129"/>
      <c r="UNM45" s="128"/>
      <c r="UNN45" s="129"/>
      <c r="UNO45" s="128"/>
      <c r="UNP45" s="129"/>
      <c r="UNQ45" s="128"/>
      <c r="UNR45" s="129"/>
      <c r="UNS45" s="128"/>
      <c r="UNT45" s="129"/>
      <c r="UNU45" s="128"/>
      <c r="UNV45" s="129"/>
      <c r="UNW45" s="128"/>
      <c r="UNX45" s="129"/>
      <c r="UNY45" s="128"/>
      <c r="UNZ45" s="129"/>
      <c r="UOA45" s="128"/>
      <c r="UOB45" s="129"/>
      <c r="UOC45" s="128"/>
      <c r="UOD45" s="129"/>
      <c r="UOE45" s="128"/>
      <c r="UOF45" s="129"/>
      <c r="UOG45" s="128"/>
      <c r="UOH45" s="129"/>
      <c r="UOI45" s="128"/>
      <c r="UOJ45" s="129"/>
      <c r="UOK45" s="128"/>
      <c r="UOL45" s="129"/>
      <c r="UOM45" s="128"/>
      <c r="UON45" s="129"/>
      <c r="UOO45" s="128"/>
      <c r="UOP45" s="129"/>
      <c r="UOQ45" s="128"/>
      <c r="UOR45" s="129"/>
      <c r="UOS45" s="128"/>
      <c r="UOT45" s="129"/>
      <c r="UOU45" s="128"/>
      <c r="UOV45" s="129"/>
      <c r="UOW45" s="128"/>
      <c r="UOX45" s="129"/>
      <c r="UOY45" s="128"/>
      <c r="UOZ45" s="129"/>
      <c r="UPA45" s="128"/>
      <c r="UPB45" s="129"/>
      <c r="UPC45" s="128"/>
      <c r="UPD45" s="129"/>
      <c r="UPE45" s="128"/>
      <c r="UPF45" s="129"/>
      <c r="UPG45" s="128"/>
      <c r="UPH45" s="129"/>
      <c r="UPI45" s="128"/>
      <c r="UPJ45" s="129"/>
      <c r="UPK45" s="128"/>
      <c r="UPL45" s="129"/>
      <c r="UPM45" s="128"/>
      <c r="UPN45" s="129"/>
      <c r="UPO45" s="128"/>
      <c r="UPP45" s="129"/>
      <c r="UPQ45" s="128"/>
      <c r="UPR45" s="129"/>
      <c r="UPS45" s="128"/>
      <c r="UPT45" s="129"/>
      <c r="UPU45" s="128"/>
      <c r="UPV45" s="129"/>
      <c r="UPW45" s="128"/>
      <c r="UPX45" s="129"/>
      <c r="UPY45" s="128"/>
      <c r="UPZ45" s="129"/>
      <c r="UQA45" s="128"/>
      <c r="UQB45" s="129"/>
      <c r="UQC45" s="128"/>
      <c r="UQD45" s="129"/>
      <c r="UQE45" s="128"/>
      <c r="UQF45" s="129"/>
      <c r="UQG45" s="128"/>
      <c r="UQH45" s="129"/>
      <c r="UQI45" s="128"/>
      <c r="UQJ45" s="129"/>
      <c r="UQK45" s="128"/>
      <c r="UQL45" s="129"/>
      <c r="UQM45" s="128"/>
      <c r="UQN45" s="129"/>
      <c r="UQO45" s="128"/>
      <c r="UQP45" s="129"/>
      <c r="UQQ45" s="128"/>
      <c r="UQR45" s="129"/>
      <c r="UQS45" s="128"/>
      <c r="UQT45" s="129"/>
      <c r="UQU45" s="128"/>
      <c r="UQV45" s="129"/>
      <c r="UQW45" s="128"/>
      <c r="UQX45" s="129"/>
      <c r="UQY45" s="128"/>
      <c r="UQZ45" s="129"/>
      <c r="URA45" s="128"/>
      <c r="URB45" s="129"/>
      <c r="URC45" s="128"/>
      <c r="URD45" s="129"/>
      <c r="URE45" s="128"/>
      <c r="URF45" s="129"/>
      <c r="URG45" s="128"/>
      <c r="URH45" s="129"/>
      <c r="URI45" s="128"/>
      <c r="URJ45" s="129"/>
      <c r="URK45" s="128"/>
      <c r="URL45" s="129"/>
      <c r="URM45" s="128"/>
      <c r="URN45" s="129"/>
      <c r="URO45" s="128"/>
      <c r="URP45" s="129"/>
      <c r="URQ45" s="128"/>
      <c r="URR45" s="129"/>
      <c r="URS45" s="128"/>
      <c r="URT45" s="129"/>
      <c r="URU45" s="128"/>
      <c r="URV45" s="129"/>
      <c r="URW45" s="128"/>
      <c r="URX45" s="129"/>
      <c r="URY45" s="128"/>
      <c r="URZ45" s="129"/>
      <c r="USA45" s="128"/>
      <c r="USB45" s="129"/>
      <c r="USC45" s="128"/>
      <c r="USD45" s="129"/>
      <c r="USE45" s="128"/>
      <c r="USF45" s="129"/>
      <c r="USG45" s="128"/>
      <c r="USH45" s="129"/>
      <c r="USI45" s="128"/>
      <c r="USJ45" s="129"/>
      <c r="USK45" s="128"/>
      <c r="USL45" s="129"/>
      <c r="USM45" s="128"/>
      <c r="USN45" s="129"/>
      <c r="USO45" s="128"/>
      <c r="USP45" s="129"/>
      <c r="USQ45" s="128"/>
      <c r="USR45" s="129"/>
      <c r="USS45" s="128"/>
      <c r="UST45" s="129"/>
      <c r="USU45" s="128"/>
      <c r="USV45" s="129"/>
      <c r="USW45" s="128"/>
      <c r="USX45" s="129"/>
      <c r="USY45" s="128"/>
      <c r="USZ45" s="129"/>
      <c r="UTA45" s="128"/>
      <c r="UTB45" s="129"/>
      <c r="UTC45" s="128"/>
      <c r="UTD45" s="129"/>
      <c r="UTE45" s="128"/>
      <c r="UTF45" s="129"/>
      <c r="UTG45" s="128"/>
      <c r="UTH45" s="129"/>
      <c r="UTI45" s="128"/>
      <c r="UTJ45" s="129"/>
      <c r="UTK45" s="128"/>
      <c r="UTL45" s="129"/>
      <c r="UTM45" s="128"/>
      <c r="UTN45" s="129"/>
      <c r="UTO45" s="128"/>
      <c r="UTP45" s="129"/>
      <c r="UTQ45" s="128"/>
      <c r="UTR45" s="129"/>
      <c r="UTS45" s="128"/>
      <c r="UTT45" s="129"/>
      <c r="UTU45" s="128"/>
      <c r="UTV45" s="129"/>
      <c r="UTW45" s="128"/>
      <c r="UTX45" s="129"/>
      <c r="UTY45" s="128"/>
      <c r="UTZ45" s="129"/>
      <c r="UUA45" s="128"/>
      <c r="UUB45" s="129"/>
      <c r="UUC45" s="128"/>
      <c r="UUD45" s="129"/>
      <c r="UUE45" s="128"/>
      <c r="UUF45" s="129"/>
      <c r="UUG45" s="128"/>
      <c r="UUH45" s="129"/>
      <c r="UUI45" s="128"/>
      <c r="UUJ45" s="129"/>
      <c r="UUK45" s="128"/>
      <c r="UUL45" s="129"/>
      <c r="UUM45" s="128"/>
      <c r="UUN45" s="129"/>
      <c r="UUO45" s="128"/>
      <c r="UUP45" s="129"/>
      <c r="UUQ45" s="128"/>
      <c r="UUR45" s="129"/>
      <c r="UUS45" s="128"/>
      <c r="UUT45" s="129"/>
      <c r="UUU45" s="128"/>
      <c r="UUV45" s="129"/>
      <c r="UUW45" s="128"/>
      <c r="UUX45" s="129"/>
      <c r="UUY45" s="128"/>
      <c r="UUZ45" s="129"/>
      <c r="UVA45" s="128"/>
      <c r="UVB45" s="129"/>
      <c r="UVC45" s="128"/>
      <c r="UVD45" s="129"/>
      <c r="UVE45" s="128"/>
      <c r="UVF45" s="129"/>
      <c r="UVG45" s="128"/>
      <c r="UVH45" s="129"/>
      <c r="UVI45" s="128"/>
      <c r="UVJ45" s="129"/>
      <c r="UVK45" s="128"/>
      <c r="UVL45" s="129"/>
      <c r="UVM45" s="128"/>
      <c r="UVN45" s="129"/>
      <c r="UVO45" s="128"/>
      <c r="UVP45" s="129"/>
      <c r="UVQ45" s="128"/>
      <c r="UVR45" s="129"/>
      <c r="UVS45" s="128"/>
      <c r="UVT45" s="129"/>
      <c r="UVU45" s="128"/>
      <c r="UVV45" s="129"/>
      <c r="UVW45" s="128"/>
      <c r="UVX45" s="129"/>
      <c r="UVY45" s="128"/>
      <c r="UVZ45" s="129"/>
      <c r="UWA45" s="128"/>
      <c r="UWB45" s="129"/>
      <c r="UWC45" s="128"/>
      <c r="UWD45" s="129"/>
      <c r="UWE45" s="128"/>
      <c r="UWF45" s="129"/>
      <c r="UWG45" s="128"/>
      <c r="UWH45" s="129"/>
      <c r="UWI45" s="128"/>
      <c r="UWJ45" s="129"/>
      <c r="UWK45" s="128"/>
      <c r="UWL45" s="129"/>
      <c r="UWM45" s="128"/>
      <c r="UWN45" s="129"/>
      <c r="UWO45" s="128"/>
      <c r="UWP45" s="129"/>
      <c r="UWQ45" s="128"/>
      <c r="UWR45" s="129"/>
      <c r="UWS45" s="128"/>
      <c r="UWT45" s="129"/>
      <c r="UWU45" s="128"/>
      <c r="UWV45" s="129"/>
      <c r="UWW45" s="128"/>
      <c r="UWX45" s="129"/>
      <c r="UWY45" s="128"/>
      <c r="UWZ45" s="129"/>
      <c r="UXA45" s="128"/>
      <c r="UXB45" s="129"/>
      <c r="UXC45" s="128"/>
      <c r="UXD45" s="129"/>
      <c r="UXE45" s="128"/>
      <c r="UXF45" s="129"/>
      <c r="UXG45" s="128"/>
      <c r="UXH45" s="129"/>
      <c r="UXI45" s="128"/>
      <c r="UXJ45" s="129"/>
      <c r="UXK45" s="128"/>
      <c r="UXL45" s="129"/>
      <c r="UXM45" s="128"/>
      <c r="UXN45" s="129"/>
      <c r="UXO45" s="128"/>
      <c r="UXP45" s="129"/>
      <c r="UXQ45" s="128"/>
      <c r="UXR45" s="129"/>
      <c r="UXS45" s="128"/>
      <c r="UXT45" s="129"/>
      <c r="UXU45" s="128"/>
      <c r="UXV45" s="129"/>
      <c r="UXW45" s="128"/>
      <c r="UXX45" s="129"/>
      <c r="UXY45" s="128"/>
      <c r="UXZ45" s="129"/>
      <c r="UYA45" s="128"/>
      <c r="UYB45" s="129"/>
      <c r="UYC45" s="128"/>
      <c r="UYD45" s="129"/>
      <c r="UYE45" s="128"/>
      <c r="UYF45" s="129"/>
      <c r="UYG45" s="128"/>
      <c r="UYH45" s="129"/>
      <c r="UYI45" s="128"/>
      <c r="UYJ45" s="129"/>
      <c r="UYK45" s="128"/>
      <c r="UYL45" s="129"/>
      <c r="UYM45" s="128"/>
      <c r="UYN45" s="129"/>
      <c r="UYO45" s="128"/>
      <c r="UYP45" s="129"/>
      <c r="UYQ45" s="128"/>
      <c r="UYR45" s="129"/>
      <c r="UYS45" s="128"/>
      <c r="UYT45" s="129"/>
      <c r="UYU45" s="128"/>
      <c r="UYV45" s="129"/>
      <c r="UYW45" s="128"/>
      <c r="UYX45" s="129"/>
      <c r="UYY45" s="128"/>
      <c r="UYZ45" s="129"/>
      <c r="UZA45" s="128"/>
      <c r="UZB45" s="129"/>
      <c r="UZC45" s="128"/>
      <c r="UZD45" s="129"/>
      <c r="UZE45" s="128"/>
      <c r="UZF45" s="129"/>
      <c r="UZG45" s="128"/>
      <c r="UZH45" s="129"/>
      <c r="UZI45" s="128"/>
      <c r="UZJ45" s="129"/>
      <c r="UZK45" s="128"/>
      <c r="UZL45" s="129"/>
      <c r="UZM45" s="128"/>
      <c r="UZN45" s="129"/>
      <c r="UZO45" s="128"/>
      <c r="UZP45" s="129"/>
      <c r="UZQ45" s="128"/>
      <c r="UZR45" s="129"/>
      <c r="UZS45" s="128"/>
      <c r="UZT45" s="129"/>
      <c r="UZU45" s="128"/>
      <c r="UZV45" s="129"/>
      <c r="UZW45" s="128"/>
      <c r="UZX45" s="129"/>
      <c r="UZY45" s="128"/>
      <c r="UZZ45" s="129"/>
      <c r="VAA45" s="128"/>
      <c r="VAB45" s="129"/>
      <c r="VAC45" s="128"/>
      <c r="VAD45" s="129"/>
      <c r="VAE45" s="128"/>
      <c r="VAF45" s="129"/>
      <c r="VAG45" s="128"/>
      <c r="VAH45" s="129"/>
      <c r="VAI45" s="128"/>
      <c r="VAJ45" s="129"/>
      <c r="VAK45" s="128"/>
      <c r="VAL45" s="129"/>
      <c r="VAM45" s="128"/>
      <c r="VAN45" s="129"/>
      <c r="VAO45" s="128"/>
      <c r="VAP45" s="129"/>
      <c r="VAQ45" s="128"/>
      <c r="VAR45" s="129"/>
      <c r="VAS45" s="128"/>
      <c r="VAT45" s="129"/>
      <c r="VAU45" s="128"/>
      <c r="VAV45" s="129"/>
      <c r="VAW45" s="128"/>
      <c r="VAX45" s="129"/>
      <c r="VAY45" s="128"/>
      <c r="VAZ45" s="129"/>
      <c r="VBA45" s="128"/>
      <c r="VBB45" s="129"/>
      <c r="VBC45" s="128"/>
      <c r="VBD45" s="129"/>
      <c r="VBE45" s="128"/>
      <c r="VBF45" s="129"/>
      <c r="VBG45" s="128"/>
      <c r="VBH45" s="129"/>
      <c r="VBI45" s="128"/>
      <c r="VBJ45" s="129"/>
      <c r="VBK45" s="128"/>
      <c r="VBL45" s="129"/>
      <c r="VBM45" s="128"/>
      <c r="VBN45" s="129"/>
      <c r="VBO45" s="128"/>
      <c r="VBP45" s="129"/>
      <c r="VBQ45" s="128"/>
      <c r="VBR45" s="129"/>
      <c r="VBS45" s="128"/>
      <c r="VBT45" s="129"/>
      <c r="VBU45" s="128"/>
      <c r="VBV45" s="129"/>
      <c r="VBW45" s="128"/>
      <c r="VBX45" s="129"/>
      <c r="VBY45" s="128"/>
      <c r="VBZ45" s="129"/>
      <c r="VCA45" s="128"/>
      <c r="VCB45" s="129"/>
      <c r="VCC45" s="128"/>
      <c r="VCD45" s="129"/>
      <c r="VCE45" s="128"/>
      <c r="VCF45" s="129"/>
      <c r="VCG45" s="128"/>
      <c r="VCH45" s="129"/>
      <c r="VCI45" s="128"/>
      <c r="VCJ45" s="129"/>
      <c r="VCK45" s="128"/>
      <c r="VCL45" s="129"/>
      <c r="VCM45" s="128"/>
      <c r="VCN45" s="129"/>
      <c r="VCO45" s="128"/>
      <c r="VCP45" s="129"/>
      <c r="VCQ45" s="128"/>
      <c r="VCR45" s="129"/>
      <c r="VCS45" s="128"/>
      <c r="VCT45" s="129"/>
      <c r="VCU45" s="128"/>
      <c r="VCV45" s="129"/>
      <c r="VCW45" s="128"/>
      <c r="VCX45" s="129"/>
      <c r="VCY45" s="128"/>
      <c r="VCZ45" s="129"/>
      <c r="VDA45" s="128"/>
      <c r="VDB45" s="129"/>
      <c r="VDC45" s="128"/>
      <c r="VDD45" s="129"/>
      <c r="VDE45" s="128"/>
      <c r="VDF45" s="129"/>
      <c r="VDG45" s="128"/>
      <c r="VDH45" s="129"/>
      <c r="VDI45" s="128"/>
      <c r="VDJ45" s="129"/>
      <c r="VDK45" s="128"/>
      <c r="VDL45" s="129"/>
      <c r="VDM45" s="128"/>
      <c r="VDN45" s="129"/>
      <c r="VDO45" s="128"/>
      <c r="VDP45" s="129"/>
      <c r="VDQ45" s="128"/>
      <c r="VDR45" s="129"/>
      <c r="VDS45" s="128"/>
      <c r="VDT45" s="129"/>
      <c r="VDU45" s="128"/>
      <c r="VDV45" s="129"/>
      <c r="VDW45" s="128"/>
      <c r="VDX45" s="129"/>
      <c r="VDY45" s="128"/>
      <c r="VDZ45" s="129"/>
      <c r="VEA45" s="128"/>
      <c r="VEB45" s="129"/>
      <c r="VEC45" s="128"/>
      <c r="VED45" s="129"/>
      <c r="VEE45" s="128"/>
      <c r="VEF45" s="129"/>
      <c r="VEG45" s="128"/>
      <c r="VEH45" s="129"/>
      <c r="VEI45" s="128"/>
      <c r="VEJ45" s="129"/>
      <c r="VEK45" s="128"/>
      <c r="VEL45" s="129"/>
      <c r="VEM45" s="128"/>
      <c r="VEN45" s="129"/>
      <c r="VEO45" s="128"/>
      <c r="VEP45" s="129"/>
      <c r="VEQ45" s="128"/>
      <c r="VER45" s="129"/>
      <c r="VES45" s="128"/>
      <c r="VET45" s="129"/>
      <c r="VEU45" s="128"/>
      <c r="VEV45" s="129"/>
      <c r="VEW45" s="128"/>
      <c r="VEX45" s="129"/>
      <c r="VEY45" s="128"/>
      <c r="VEZ45" s="129"/>
      <c r="VFA45" s="128"/>
      <c r="VFB45" s="129"/>
      <c r="VFC45" s="128"/>
      <c r="VFD45" s="129"/>
      <c r="VFE45" s="128"/>
      <c r="VFF45" s="129"/>
      <c r="VFG45" s="128"/>
      <c r="VFH45" s="129"/>
      <c r="VFI45" s="128"/>
      <c r="VFJ45" s="129"/>
      <c r="VFK45" s="128"/>
      <c r="VFL45" s="129"/>
      <c r="VFM45" s="128"/>
      <c r="VFN45" s="129"/>
      <c r="VFO45" s="128"/>
      <c r="VFP45" s="129"/>
      <c r="VFQ45" s="128"/>
      <c r="VFR45" s="129"/>
      <c r="VFS45" s="128"/>
      <c r="VFT45" s="129"/>
      <c r="VFU45" s="128"/>
      <c r="VFV45" s="129"/>
      <c r="VFW45" s="128"/>
      <c r="VFX45" s="129"/>
      <c r="VFY45" s="128"/>
      <c r="VFZ45" s="129"/>
      <c r="VGA45" s="128"/>
      <c r="VGB45" s="129"/>
      <c r="VGC45" s="128"/>
      <c r="VGD45" s="129"/>
      <c r="VGE45" s="128"/>
      <c r="VGF45" s="129"/>
      <c r="VGG45" s="128"/>
      <c r="VGH45" s="129"/>
      <c r="VGI45" s="128"/>
      <c r="VGJ45" s="129"/>
      <c r="VGK45" s="128"/>
      <c r="VGL45" s="129"/>
      <c r="VGM45" s="128"/>
      <c r="VGN45" s="129"/>
      <c r="VGO45" s="128"/>
      <c r="VGP45" s="129"/>
      <c r="VGQ45" s="128"/>
      <c r="VGR45" s="129"/>
      <c r="VGS45" s="128"/>
      <c r="VGT45" s="129"/>
      <c r="VGU45" s="128"/>
      <c r="VGV45" s="129"/>
      <c r="VGW45" s="128"/>
      <c r="VGX45" s="129"/>
      <c r="VGY45" s="128"/>
      <c r="VGZ45" s="129"/>
      <c r="VHA45" s="128"/>
      <c r="VHB45" s="129"/>
      <c r="VHC45" s="128"/>
      <c r="VHD45" s="129"/>
      <c r="VHE45" s="128"/>
      <c r="VHF45" s="129"/>
      <c r="VHG45" s="128"/>
      <c r="VHH45" s="129"/>
      <c r="VHI45" s="128"/>
      <c r="VHJ45" s="129"/>
      <c r="VHK45" s="128"/>
      <c r="VHL45" s="129"/>
      <c r="VHM45" s="128"/>
      <c r="VHN45" s="129"/>
      <c r="VHO45" s="128"/>
      <c r="VHP45" s="129"/>
      <c r="VHQ45" s="128"/>
      <c r="VHR45" s="129"/>
      <c r="VHS45" s="128"/>
      <c r="VHT45" s="129"/>
      <c r="VHU45" s="128"/>
      <c r="VHV45" s="129"/>
      <c r="VHW45" s="128"/>
      <c r="VHX45" s="129"/>
      <c r="VHY45" s="128"/>
      <c r="VHZ45" s="129"/>
      <c r="VIA45" s="128"/>
      <c r="VIB45" s="129"/>
      <c r="VIC45" s="128"/>
      <c r="VID45" s="129"/>
      <c r="VIE45" s="128"/>
      <c r="VIF45" s="129"/>
      <c r="VIG45" s="128"/>
      <c r="VIH45" s="129"/>
      <c r="VII45" s="128"/>
      <c r="VIJ45" s="129"/>
      <c r="VIK45" s="128"/>
      <c r="VIL45" s="129"/>
      <c r="VIM45" s="128"/>
      <c r="VIN45" s="129"/>
      <c r="VIO45" s="128"/>
      <c r="VIP45" s="129"/>
      <c r="VIQ45" s="128"/>
      <c r="VIR45" s="129"/>
      <c r="VIS45" s="128"/>
      <c r="VIT45" s="129"/>
      <c r="VIU45" s="128"/>
      <c r="VIV45" s="129"/>
      <c r="VIW45" s="128"/>
      <c r="VIX45" s="129"/>
      <c r="VIY45" s="128"/>
      <c r="VIZ45" s="129"/>
      <c r="VJA45" s="128"/>
      <c r="VJB45" s="129"/>
      <c r="VJC45" s="128"/>
      <c r="VJD45" s="129"/>
      <c r="VJE45" s="128"/>
      <c r="VJF45" s="129"/>
      <c r="VJG45" s="128"/>
      <c r="VJH45" s="129"/>
      <c r="VJI45" s="128"/>
      <c r="VJJ45" s="129"/>
      <c r="VJK45" s="128"/>
      <c r="VJL45" s="129"/>
      <c r="VJM45" s="128"/>
      <c r="VJN45" s="129"/>
      <c r="VJO45" s="128"/>
      <c r="VJP45" s="129"/>
      <c r="VJQ45" s="128"/>
      <c r="VJR45" s="129"/>
      <c r="VJS45" s="128"/>
      <c r="VJT45" s="129"/>
      <c r="VJU45" s="128"/>
      <c r="VJV45" s="129"/>
      <c r="VJW45" s="128"/>
      <c r="VJX45" s="129"/>
      <c r="VJY45" s="128"/>
      <c r="VJZ45" s="129"/>
      <c r="VKA45" s="128"/>
      <c r="VKB45" s="129"/>
      <c r="VKC45" s="128"/>
      <c r="VKD45" s="129"/>
      <c r="VKE45" s="128"/>
      <c r="VKF45" s="129"/>
      <c r="VKG45" s="128"/>
      <c r="VKH45" s="129"/>
      <c r="VKI45" s="128"/>
      <c r="VKJ45" s="129"/>
      <c r="VKK45" s="128"/>
      <c r="VKL45" s="129"/>
      <c r="VKM45" s="128"/>
      <c r="VKN45" s="129"/>
      <c r="VKO45" s="128"/>
      <c r="VKP45" s="129"/>
      <c r="VKQ45" s="128"/>
      <c r="VKR45" s="129"/>
      <c r="VKS45" s="128"/>
      <c r="VKT45" s="129"/>
      <c r="VKU45" s="128"/>
      <c r="VKV45" s="129"/>
      <c r="VKW45" s="128"/>
      <c r="VKX45" s="129"/>
      <c r="VKY45" s="128"/>
      <c r="VKZ45" s="129"/>
      <c r="VLA45" s="128"/>
      <c r="VLB45" s="129"/>
      <c r="VLC45" s="128"/>
      <c r="VLD45" s="129"/>
      <c r="VLE45" s="128"/>
      <c r="VLF45" s="129"/>
      <c r="VLG45" s="128"/>
      <c r="VLH45" s="129"/>
      <c r="VLI45" s="128"/>
      <c r="VLJ45" s="129"/>
      <c r="VLK45" s="128"/>
      <c r="VLL45" s="129"/>
      <c r="VLM45" s="128"/>
      <c r="VLN45" s="129"/>
      <c r="VLO45" s="128"/>
      <c r="VLP45" s="129"/>
      <c r="VLQ45" s="128"/>
      <c r="VLR45" s="129"/>
      <c r="VLS45" s="128"/>
      <c r="VLT45" s="129"/>
      <c r="VLU45" s="128"/>
      <c r="VLV45" s="129"/>
      <c r="VLW45" s="128"/>
      <c r="VLX45" s="129"/>
      <c r="VLY45" s="128"/>
      <c r="VLZ45" s="129"/>
      <c r="VMA45" s="128"/>
      <c r="VMB45" s="129"/>
      <c r="VMC45" s="128"/>
      <c r="VMD45" s="129"/>
      <c r="VME45" s="128"/>
      <c r="VMF45" s="129"/>
      <c r="VMG45" s="128"/>
      <c r="VMH45" s="129"/>
      <c r="VMI45" s="128"/>
      <c r="VMJ45" s="129"/>
      <c r="VMK45" s="128"/>
      <c r="VML45" s="129"/>
      <c r="VMM45" s="128"/>
      <c r="VMN45" s="129"/>
      <c r="VMO45" s="128"/>
      <c r="VMP45" s="129"/>
      <c r="VMQ45" s="128"/>
      <c r="VMR45" s="129"/>
      <c r="VMS45" s="128"/>
      <c r="VMT45" s="129"/>
      <c r="VMU45" s="128"/>
      <c r="VMV45" s="129"/>
      <c r="VMW45" s="128"/>
      <c r="VMX45" s="129"/>
      <c r="VMY45" s="128"/>
      <c r="VMZ45" s="129"/>
      <c r="VNA45" s="128"/>
      <c r="VNB45" s="129"/>
      <c r="VNC45" s="128"/>
      <c r="VND45" s="129"/>
      <c r="VNE45" s="128"/>
      <c r="VNF45" s="129"/>
      <c r="VNG45" s="128"/>
      <c r="VNH45" s="129"/>
      <c r="VNI45" s="128"/>
      <c r="VNJ45" s="129"/>
      <c r="VNK45" s="128"/>
      <c r="VNL45" s="129"/>
      <c r="VNM45" s="128"/>
      <c r="VNN45" s="129"/>
      <c r="VNO45" s="128"/>
      <c r="VNP45" s="129"/>
      <c r="VNQ45" s="128"/>
      <c r="VNR45" s="129"/>
      <c r="VNS45" s="128"/>
      <c r="VNT45" s="129"/>
      <c r="VNU45" s="128"/>
      <c r="VNV45" s="129"/>
      <c r="VNW45" s="128"/>
      <c r="VNX45" s="129"/>
      <c r="VNY45" s="128"/>
      <c r="VNZ45" s="129"/>
      <c r="VOA45" s="128"/>
      <c r="VOB45" s="129"/>
      <c r="VOC45" s="128"/>
      <c r="VOD45" s="129"/>
      <c r="VOE45" s="128"/>
      <c r="VOF45" s="129"/>
      <c r="VOG45" s="128"/>
      <c r="VOH45" s="129"/>
      <c r="VOI45" s="128"/>
      <c r="VOJ45" s="129"/>
      <c r="VOK45" s="128"/>
      <c r="VOL45" s="129"/>
      <c r="VOM45" s="128"/>
      <c r="VON45" s="129"/>
      <c r="VOO45" s="128"/>
      <c r="VOP45" s="129"/>
      <c r="VOQ45" s="128"/>
      <c r="VOR45" s="129"/>
      <c r="VOS45" s="128"/>
      <c r="VOT45" s="129"/>
      <c r="VOU45" s="128"/>
      <c r="VOV45" s="129"/>
      <c r="VOW45" s="128"/>
      <c r="VOX45" s="129"/>
      <c r="VOY45" s="128"/>
      <c r="VOZ45" s="129"/>
      <c r="VPA45" s="128"/>
      <c r="VPB45" s="129"/>
      <c r="VPC45" s="128"/>
      <c r="VPD45" s="129"/>
      <c r="VPE45" s="128"/>
      <c r="VPF45" s="129"/>
      <c r="VPG45" s="128"/>
      <c r="VPH45" s="129"/>
      <c r="VPI45" s="128"/>
      <c r="VPJ45" s="129"/>
      <c r="VPK45" s="128"/>
      <c r="VPL45" s="129"/>
      <c r="VPM45" s="128"/>
      <c r="VPN45" s="129"/>
      <c r="VPO45" s="128"/>
      <c r="VPP45" s="129"/>
      <c r="VPQ45" s="128"/>
      <c r="VPR45" s="129"/>
      <c r="VPS45" s="128"/>
      <c r="VPT45" s="129"/>
      <c r="VPU45" s="128"/>
      <c r="VPV45" s="129"/>
      <c r="VPW45" s="128"/>
      <c r="VPX45" s="129"/>
      <c r="VPY45" s="128"/>
      <c r="VPZ45" s="129"/>
      <c r="VQA45" s="128"/>
      <c r="VQB45" s="129"/>
      <c r="VQC45" s="128"/>
      <c r="VQD45" s="129"/>
      <c r="VQE45" s="128"/>
      <c r="VQF45" s="129"/>
      <c r="VQG45" s="128"/>
      <c r="VQH45" s="129"/>
      <c r="VQI45" s="128"/>
      <c r="VQJ45" s="129"/>
      <c r="VQK45" s="128"/>
      <c r="VQL45" s="129"/>
      <c r="VQM45" s="128"/>
      <c r="VQN45" s="129"/>
      <c r="VQO45" s="128"/>
      <c r="VQP45" s="129"/>
      <c r="VQQ45" s="128"/>
      <c r="VQR45" s="129"/>
      <c r="VQS45" s="128"/>
      <c r="VQT45" s="129"/>
      <c r="VQU45" s="128"/>
      <c r="VQV45" s="129"/>
      <c r="VQW45" s="128"/>
      <c r="VQX45" s="129"/>
      <c r="VQY45" s="128"/>
      <c r="VQZ45" s="129"/>
      <c r="VRA45" s="128"/>
      <c r="VRB45" s="129"/>
      <c r="VRC45" s="128"/>
      <c r="VRD45" s="129"/>
      <c r="VRE45" s="128"/>
      <c r="VRF45" s="129"/>
      <c r="VRG45" s="128"/>
      <c r="VRH45" s="129"/>
      <c r="VRI45" s="128"/>
      <c r="VRJ45" s="129"/>
      <c r="VRK45" s="128"/>
      <c r="VRL45" s="129"/>
      <c r="VRM45" s="128"/>
      <c r="VRN45" s="129"/>
      <c r="VRO45" s="128"/>
      <c r="VRP45" s="129"/>
      <c r="VRQ45" s="128"/>
      <c r="VRR45" s="129"/>
      <c r="VRS45" s="128"/>
      <c r="VRT45" s="129"/>
      <c r="VRU45" s="128"/>
      <c r="VRV45" s="129"/>
      <c r="VRW45" s="128"/>
      <c r="VRX45" s="129"/>
      <c r="VRY45" s="128"/>
      <c r="VRZ45" s="129"/>
      <c r="VSA45" s="128"/>
      <c r="VSB45" s="129"/>
      <c r="VSC45" s="128"/>
      <c r="VSD45" s="129"/>
      <c r="VSE45" s="128"/>
      <c r="VSF45" s="129"/>
      <c r="VSG45" s="128"/>
      <c r="VSH45" s="129"/>
      <c r="VSI45" s="128"/>
      <c r="VSJ45" s="129"/>
      <c r="VSK45" s="128"/>
      <c r="VSL45" s="129"/>
      <c r="VSM45" s="128"/>
      <c r="VSN45" s="129"/>
      <c r="VSO45" s="128"/>
      <c r="VSP45" s="129"/>
      <c r="VSQ45" s="128"/>
      <c r="VSR45" s="129"/>
      <c r="VSS45" s="128"/>
      <c r="VST45" s="129"/>
      <c r="VSU45" s="128"/>
      <c r="VSV45" s="129"/>
      <c r="VSW45" s="128"/>
      <c r="VSX45" s="129"/>
      <c r="VSY45" s="128"/>
      <c r="VSZ45" s="129"/>
      <c r="VTA45" s="128"/>
      <c r="VTB45" s="129"/>
      <c r="VTC45" s="128"/>
      <c r="VTD45" s="129"/>
      <c r="VTE45" s="128"/>
      <c r="VTF45" s="129"/>
      <c r="VTG45" s="128"/>
      <c r="VTH45" s="129"/>
      <c r="VTI45" s="128"/>
      <c r="VTJ45" s="129"/>
      <c r="VTK45" s="128"/>
      <c r="VTL45" s="129"/>
      <c r="VTM45" s="128"/>
      <c r="VTN45" s="129"/>
      <c r="VTO45" s="128"/>
      <c r="VTP45" s="129"/>
      <c r="VTQ45" s="128"/>
      <c r="VTR45" s="129"/>
      <c r="VTS45" s="128"/>
      <c r="VTT45" s="129"/>
      <c r="VTU45" s="128"/>
      <c r="VTV45" s="129"/>
      <c r="VTW45" s="128"/>
      <c r="VTX45" s="129"/>
      <c r="VTY45" s="128"/>
      <c r="VTZ45" s="129"/>
      <c r="VUA45" s="128"/>
      <c r="VUB45" s="129"/>
      <c r="VUC45" s="128"/>
      <c r="VUD45" s="129"/>
      <c r="VUE45" s="128"/>
      <c r="VUF45" s="129"/>
      <c r="VUG45" s="128"/>
      <c r="VUH45" s="129"/>
      <c r="VUI45" s="128"/>
      <c r="VUJ45" s="129"/>
      <c r="VUK45" s="128"/>
      <c r="VUL45" s="129"/>
      <c r="VUM45" s="128"/>
      <c r="VUN45" s="129"/>
      <c r="VUO45" s="128"/>
      <c r="VUP45" s="129"/>
      <c r="VUQ45" s="128"/>
      <c r="VUR45" s="129"/>
      <c r="VUS45" s="128"/>
      <c r="VUT45" s="129"/>
      <c r="VUU45" s="128"/>
      <c r="VUV45" s="129"/>
      <c r="VUW45" s="128"/>
      <c r="VUX45" s="129"/>
      <c r="VUY45" s="128"/>
      <c r="VUZ45" s="129"/>
      <c r="VVA45" s="128"/>
      <c r="VVB45" s="129"/>
      <c r="VVC45" s="128"/>
      <c r="VVD45" s="129"/>
      <c r="VVE45" s="128"/>
      <c r="VVF45" s="129"/>
      <c r="VVG45" s="128"/>
      <c r="VVH45" s="129"/>
      <c r="VVI45" s="128"/>
      <c r="VVJ45" s="129"/>
      <c r="VVK45" s="128"/>
      <c r="VVL45" s="129"/>
      <c r="VVM45" s="128"/>
      <c r="VVN45" s="129"/>
      <c r="VVO45" s="128"/>
      <c r="VVP45" s="129"/>
      <c r="VVQ45" s="128"/>
      <c r="VVR45" s="129"/>
      <c r="VVS45" s="128"/>
      <c r="VVT45" s="129"/>
      <c r="VVU45" s="128"/>
      <c r="VVV45" s="129"/>
      <c r="VVW45" s="128"/>
      <c r="VVX45" s="129"/>
      <c r="VVY45" s="128"/>
      <c r="VVZ45" s="129"/>
      <c r="VWA45" s="128"/>
      <c r="VWB45" s="129"/>
      <c r="VWC45" s="128"/>
      <c r="VWD45" s="129"/>
      <c r="VWE45" s="128"/>
      <c r="VWF45" s="129"/>
      <c r="VWG45" s="128"/>
      <c r="VWH45" s="129"/>
      <c r="VWI45" s="128"/>
      <c r="VWJ45" s="129"/>
      <c r="VWK45" s="128"/>
      <c r="VWL45" s="129"/>
      <c r="VWM45" s="128"/>
      <c r="VWN45" s="129"/>
      <c r="VWO45" s="128"/>
      <c r="VWP45" s="129"/>
      <c r="VWQ45" s="128"/>
      <c r="VWR45" s="129"/>
      <c r="VWS45" s="128"/>
      <c r="VWT45" s="129"/>
      <c r="VWU45" s="128"/>
      <c r="VWV45" s="129"/>
      <c r="VWW45" s="128"/>
      <c r="VWX45" s="129"/>
      <c r="VWY45" s="128"/>
      <c r="VWZ45" s="129"/>
      <c r="VXA45" s="128"/>
      <c r="VXB45" s="129"/>
      <c r="VXC45" s="128"/>
      <c r="VXD45" s="129"/>
      <c r="VXE45" s="128"/>
      <c r="VXF45" s="129"/>
      <c r="VXG45" s="128"/>
      <c r="VXH45" s="129"/>
      <c r="VXI45" s="128"/>
      <c r="VXJ45" s="129"/>
      <c r="VXK45" s="128"/>
      <c r="VXL45" s="129"/>
      <c r="VXM45" s="128"/>
      <c r="VXN45" s="129"/>
      <c r="VXO45" s="128"/>
      <c r="VXP45" s="129"/>
      <c r="VXQ45" s="128"/>
      <c r="VXR45" s="129"/>
      <c r="VXS45" s="128"/>
      <c r="VXT45" s="129"/>
      <c r="VXU45" s="128"/>
      <c r="VXV45" s="129"/>
      <c r="VXW45" s="128"/>
      <c r="VXX45" s="129"/>
      <c r="VXY45" s="128"/>
      <c r="VXZ45" s="129"/>
      <c r="VYA45" s="128"/>
      <c r="VYB45" s="129"/>
      <c r="VYC45" s="128"/>
      <c r="VYD45" s="129"/>
      <c r="VYE45" s="128"/>
      <c r="VYF45" s="129"/>
      <c r="VYG45" s="128"/>
      <c r="VYH45" s="129"/>
      <c r="VYI45" s="128"/>
      <c r="VYJ45" s="129"/>
      <c r="VYK45" s="128"/>
      <c r="VYL45" s="129"/>
      <c r="VYM45" s="128"/>
      <c r="VYN45" s="129"/>
      <c r="VYO45" s="128"/>
      <c r="VYP45" s="129"/>
      <c r="VYQ45" s="128"/>
      <c r="VYR45" s="129"/>
      <c r="VYS45" s="128"/>
      <c r="VYT45" s="129"/>
      <c r="VYU45" s="128"/>
      <c r="VYV45" s="129"/>
      <c r="VYW45" s="128"/>
      <c r="VYX45" s="129"/>
      <c r="VYY45" s="128"/>
      <c r="VYZ45" s="129"/>
      <c r="VZA45" s="128"/>
      <c r="VZB45" s="129"/>
      <c r="VZC45" s="128"/>
      <c r="VZD45" s="129"/>
      <c r="VZE45" s="128"/>
      <c r="VZF45" s="129"/>
      <c r="VZG45" s="128"/>
      <c r="VZH45" s="129"/>
      <c r="VZI45" s="128"/>
      <c r="VZJ45" s="129"/>
      <c r="VZK45" s="128"/>
      <c r="VZL45" s="129"/>
      <c r="VZM45" s="128"/>
      <c r="VZN45" s="129"/>
      <c r="VZO45" s="128"/>
      <c r="VZP45" s="129"/>
      <c r="VZQ45" s="128"/>
      <c r="VZR45" s="129"/>
      <c r="VZS45" s="128"/>
      <c r="VZT45" s="129"/>
      <c r="VZU45" s="128"/>
      <c r="VZV45" s="129"/>
      <c r="VZW45" s="128"/>
      <c r="VZX45" s="129"/>
      <c r="VZY45" s="128"/>
      <c r="VZZ45" s="129"/>
      <c r="WAA45" s="128"/>
      <c r="WAB45" s="129"/>
      <c r="WAC45" s="128"/>
      <c r="WAD45" s="129"/>
      <c r="WAE45" s="128"/>
      <c r="WAF45" s="129"/>
      <c r="WAG45" s="128"/>
      <c r="WAH45" s="129"/>
      <c r="WAI45" s="128"/>
      <c r="WAJ45" s="129"/>
      <c r="WAK45" s="128"/>
      <c r="WAL45" s="129"/>
      <c r="WAM45" s="128"/>
      <c r="WAN45" s="129"/>
      <c r="WAO45" s="128"/>
      <c r="WAP45" s="129"/>
      <c r="WAQ45" s="128"/>
      <c r="WAR45" s="129"/>
      <c r="WAS45" s="128"/>
      <c r="WAT45" s="129"/>
      <c r="WAU45" s="128"/>
      <c r="WAV45" s="129"/>
      <c r="WAW45" s="128"/>
      <c r="WAX45" s="129"/>
      <c r="WAY45" s="128"/>
      <c r="WAZ45" s="129"/>
      <c r="WBA45" s="128"/>
      <c r="WBB45" s="129"/>
      <c r="WBC45" s="128"/>
      <c r="WBD45" s="129"/>
      <c r="WBE45" s="128"/>
      <c r="WBF45" s="129"/>
      <c r="WBG45" s="128"/>
      <c r="WBH45" s="129"/>
      <c r="WBI45" s="128"/>
      <c r="WBJ45" s="129"/>
      <c r="WBK45" s="128"/>
      <c r="WBL45" s="129"/>
      <c r="WBM45" s="128"/>
      <c r="WBN45" s="129"/>
      <c r="WBO45" s="128"/>
      <c r="WBP45" s="129"/>
      <c r="WBQ45" s="128"/>
      <c r="WBR45" s="129"/>
      <c r="WBS45" s="128"/>
      <c r="WBT45" s="129"/>
      <c r="WBU45" s="128"/>
      <c r="WBV45" s="129"/>
      <c r="WBW45" s="128"/>
      <c r="WBX45" s="129"/>
      <c r="WBY45" s="128"/>
      <c r="WBZ45" s="129"/>
      <c r="WCA45" s="128"/>
      <c r="WCB45" s="129"/>
      <c r="WCC45" s="128"/>
      <c r="WCD45" s="129"/>
      <c r="WCE45" s="128"/>
      <c r="WCF45" s="129"/>
      <c r="WCG45" s="128"/>
      <c r="WCH45" s="129"/>
      <c r="WCI45" s="128"/>
      <c r="WCJ45" s="129"/>
      <c r="WCK45" s="128"/>
      <c r="WCL45" s="129"/>
      <c r="WCM45" s="128"/>
      <c r="WCN45" s="129"/>
      <c r="WCO45" s="128"/>
      <c r="WCP45" s="129"/>
      <c r="WCQ45" s="128"/>
      <c r="WCR45" s="129"/>
      <c r="WCS45" s="128"/>
      <c r="WCT45" s="129"/>
      <c r="WCU45" s="128"/>
      <c r="WCV45" s="129"/>
      <c r="WCW45" s="128"/>
      <c r="WCX45" s="129"/>
      <c r="WCY45" s="128"/>
      <c r="WCZ45" s="129"/>
      <c r="WDA45" s="128"/>
      <c r="WDB45" s="129"/>
      <c r="WDC45" s="128"/>
      <c r="WDD45" s="129"/>
      <c r="WDE45" s="128"/>
      <c r="WDF45" s="129"/>
      <c r="WDG45" s="128"/>
      <c r="WDH45" s="129"/>
      <c r="WDI45" s="128"/>
      <c r="WDJ45" s="129"/>
      <c r="WDK45" s="128"/>
      <c r="WDL45" s="129"/>
      <c r="WDM45" s="128"/>
      <c r="WDN45" s="129"/>
      <c r="WDO45" s="128"/>
      <c r="WDP45" s="129"/>
      <c r="WDQ45" s="128"/>
      <c r="WDR45" s="129"/>
      <c r="WDS45" s="128"/>
      <c r="WDT45" s="129"/>
      <c r="WDU45" s="128"/>
      <c r="WDV45" s="129"/>
      <c r="WDW45" s="128"/>
      <c r="WDX45" s="129"/>
      <c r="WDY45" s="128"/>
      <c r="WDZ45" s="129"/>
      <c r="WEA45" s="128"/>
      <c r="WEB45" s="129"/>
      <c r="WEC45" s="128"/>
      <c r="WED45" s="129"/>
      <c r="WEE45" s="128"/>
      <c r="WEF45" s="129"/>
      <c r="WEG45" s="128"/>
      <c r="WEH45" s="129"/>
      <c r="WEI45" s="128"/>
      <c r="WEJ45" s="129"/>
      <c r="WEK45" s="128"/>
      <c r="WEL45" s="129"/>
      <c r="WEM45" s="128"/>
      <c r="WEN45" s="129"/>
      <c r="WEO45" s="128"/>
      <c r="WEP45" s="129"/>
      <c r="WEQ45" s="128"/>
      <c r="WER45" s="129"/>
      <c r="WES45" s="128"/>
      <c r="WET45" s="129"/>
      <c r="WEU45" s="128"/>
      <c r="WEV45" s="129"/>
      <c r="WEW45" s="128"/>
      <c r="WEX45" s="129"/>
      <c r="WEY45" s="128"/>
      <c r="WEZ45" s="129"/>
      <c r="WFA45" s="128"/>
      <c r="WFB45" s="129"/>
      <c r="WFC45" s="128"/>
      <c r="WFD45" s="129"/>
      <c r="WFE45" s="128"/>
      <c r="WFF45" s="129"/>
      <c r="WFG45" s="128"/>
      <c r="WFH45" s="129"/>
      <c r="WFI45" s="128"/>
      <c r="WFJ45" s="129"/>
      <c r="WFK45" s="128"/>
      <c r="WFL45" s="129"/>
      <c r="WFM45" s="128"/>
      <c r="WFN45" s="129"/>
      <c r="WFO45" s="128"/>
      <c r="WFP45" s="129"/>
      <c r="WFQ45" s="128"/>
      <c r="WFR45" s="129"/>
      <c r="WFS45" s="128"/>
      <c r="WFT45" s="129"/>
      <c r="WFU45" s="128"/>
      <c r="WFV45" s="129"/>
      <c r="WFW45" s="128"/>
      <c r="WFX45" s="129"/>
      <c r="WFY45" s="128"/>
      <c r="WFZ45" s="129"/>
      <c r="WGA45" s="128"/>
      <c r="WGB45" s="129"/>
      <c r="WGC45" s="128"/>
      <c r="WGD45" s="129"/>
      <c r="WGE45" s="128"/>
      <c r="WGF45" s="129"/>
      <c r="WGG45" s="128"/>
      <c r="WGH45" s="129"/>
      <c r="WGI45" s="128"/>
      <c r="WGJ45" s="129"/>
      <c r="WGK45" s="128"/>
      <c r="WGL45" s="129"/>
      <c r="WGM45" s="128"/>
      <c r="WGN45" s="129"/>
      <c r="WGO45" s="128"/>
      <c r="WGP45" s="129"/>
      <c r="WGQ45" s="128"/>
      <c r="WGR45" s="129"/>
      <c r="WGS45" s="128"/>
      <c r="WGT45" s="129"/>
      <c r="WGU45" s="128"/>
      <c r="WGV45" s="129"/>
      <c r="WGW45" s="128"/>
      <c r="WGX45" s="129"/>
      <c r="WGY45" s="128"/>
      <c r="WGZ45" s="129"/>
      <c r="WHA45" s="128"/>
      <c r="WHB45" s="129"/>
      <c r="WHC45" s="128"/>
      <c r="WHD45" s="129"/>
      <c r="WHE45" s="128"/>
      <c r="WHF45" s="129"/>
      <c r="WHG45" s="128"/>
      <c r="WHH45" s="129"/>
      <c r="WHI45" s="128"/>
      <c r="WHJ45" s="129"/>
      <c r="WHK45" s="128"/>
      <c r="WHL45" s="129"/>
      <c r="WHM45" s="128"/>
      <c r="WHN45" s="129"/>
      <c r="WHO45" s="128"/>
      <c r="WHP45" s="129"/>
      <c r="WHQ45" s="128"/>
      <c r="WHR45" s="129"/>
      <c r="WHS45" s="128"/>
      <c r="WHT45" s="129"/>
      <c r="WHU45" s="128"/>
      <c r="WHV45" s="129"/>
      <c r="WHW45" s="128"/>
      <c r="WHX45" s="129"/>
      <c r="WHY45" s="128"/>
      <c r="WHZ45" s="129"/>
      <c r="WIA45" s="128"/>
      <c r="WIB45" s="129"/>
      <c r="WIC45" s="128"/>
      <c r="WID45" s="129"/>
      <c r="WIE45" s="128"/>
      <c r="WIF45" s="129"/>
      <c r="WIG45" s="128"/>
      <c r="WIH45" s="129"/>
      <c r="WII45" s="128"/>
      <c r="WIJ45" s="129"/>
      <c r="WIK45" s="128"/>
      <c r="WIL45" s="129"/>
      <c r="WIM45" s="128"/>
      <c r="WIN45" s="129"/>
      <c r="WIO45" s="128"/>
      <c r="WIP45" s="129"/>
      <c r="WIQ45" s="128"/>
      <c r="WIR45" s="129"/>
      <c r="WIS45" s="128"/>
      <c r="WIT45" s="129"/>
      <c r="WIU45" s="128"/>
      <c r="WIV45" s="129"/>
      <c r="WIW45" s="128"/>
      <c r="WIX45" s="129"/>
      <c r="WIY45" s="128"/>
      <c r="WIZ45" s="129"/>
      <c r="WJA45" s="128"/>
      <c r="WJB45" s="129"/>
      <c r="WJC45" s="128"/>
      <c r="WJD45" s="129"/>
      <c r="WJE45" s="128"/>
      <c r="WJF45" s="129"/>
      <c r="WJG45" s="128"/>
      <c r="WJH45" s="129"/>
      <c r="WJI45" s="128"/>
      <c r="WJJ45" s="129"/>
      <c r="WJK45" s="128"/>
      <c r="WJL45" s="129"/>
      <c r="WJM45" s="128"/>
      <c r="WJN45" s="129"/>
      <c r="WJO45" s="128"/>
      <c r="WJP45" s="129"/>
      <c r="WJQ45" s="128"/>
      <c r="WJR45" s="129"/>
      <c r="WJS45" s="128"/>
      <c r="WJT45" s="129"/>
      <c r="WJU45" s="128"/>
      <c r="WJV45" s="129"/>
      <c r="WJW45" s="128"/>
      <c r="WJX45" s="129"/>
      <c r="WJY45" s="128"/>
      <c r="WJZ45" s="129"/>
      <c r="WKA45" s="128"/>
      <c r="WKB45" s="129"/>
      <c r="WKC45" s="128"/>
      <c r="WKD45" s="129"/>
      <c r="WKE45" s="128"/>
      <c r="WKF45" s="129"/>
      <c r="WKG45" s="128"/>
      <c r="WKH45" s="129"/>
      <c r="WKI45" s="128"/>
      <c r="WKJ45" s="129"/>
      <c r="WKK45" s="128"/>
      <c r="WKL45" s="129"/>
      <c r="WKM45" s="128"/>
      <c r="WKN45" s="129"/>
      <c r="WKO45" s="128"/>
      <c r="WKP45" s="129"/>
      <c r="WKQ45" s="128"/>
      <c r="WKR45" s="129"/>
      <c r="WKS45" s="128"/>
      <c r="WKT45" s="129"/>
      <c r="WKU45" s="128"/>
      <c r="WKV45" s="129"/>
      <c r="WKW45" s="128"/>
      <c r="WKX45" s="129"/>
      <c r="WKY45" s="128"/>
      <c r="WKZ45" s="129"/>
      <c r="WLA45" s="128"/>
      <c r="WLB45" s="129"/>
      <c r="WLC45" s="128"/>
      <c r="WLD45" s="129"/>
      <c r="WLE45" s="128"/>
      <c r="WLF45" s="129"/>
      <c r="WLG45" s="128"/>
      <c r="WLH45" s="129"/>
      <c r="WLI45" s="128"/>
      <c r="WLJ45" s="129"/>
      <c r="WLK45" s="128"/>
      <c r="WLL45" s="129"/>
      <c r="WLM45" s="128"/>
      <c r="WLN45" s="129"/>
      <c r="WLO45" s="128"/>
      <c r="WLP45" s="129"/>
      <c r="WLQ45" s="128"/>
      <c r="WLR45" s="129"/>
      <c r="WLS45" s="128"/>
      <c r="WLT45" s="129"/>
      <c r="WLU45" s="128"/>
      <c r="WLV45" s="129"/>
      <c r="WLW45" s="128"/>
      <c r="WLX45" s="129"/>
      <c r="WLY45" s="128"/>
      <c r="WLZ45" s="129"/>
      <c r="WMA45" s="128"/>
      <c r="WMB45" s="129"/>
      <c r="WMC45" s="128"/>
      <c r="WMD45" s="129"/>
      <c r="WME45" s="128"/>
      <c r="WMF45" s="129"/>
      <c r="WMG45" s="128"/>
      <c r="WMH45" s="129"/>
      <c r="WMI45" s="128"/>
      <c r="WMJ45" s="129"/>
      <c r="WMK45" s="128"/>
      <c r="WML45" s="129"/>
      <c r="WMM45" s="128"/>
      <c r="WMN45" s="129"/>
      <c r="WMO45" s="128"/>
      <c r="WMP45" s="129"/>
      <c r="WMQ45" s="128"/>
      <c r="WMR45" s="129"/>
      <c r="WMS45" s="128"/>
      <c r="WMT45" s="129"/>
      <c r="WMU45" s="128"/>
      <c r="WMV45" s="129"/>
      <c r="WMW45" s="128"/>
      <c r="WMX45" s="129"/>
      <c r="WMY45" s="128"/>
      <c r="WMZ45" s="129"/>
      <c r="WNA45" s="128"/>
      <c r="WNB45" s="129"/>
      <c r="WNC45" s="128"/>
      <c r="WND45" s="129"/>
      <c r="WNE45" s="128"/>
      <c r="WNF45" s="129"/>
      <c r="WNG45" s="128"/>
      <c r="WNH45" s="129"/>
      <c r="WNI45" s="128"/>
      <c r="WNJ45" s="129"/>
      <c r="WNK45" s="128"/>
      <c r="WNL45" s="129"/>
      <c r="WNM45" s="128"/>
      <c r="WNN45" s="129"/>
      <c r="WNO45" s="128"/>
      <c r="WNP45" s="129"/>
      <c r="WNQ45" s="128"/>
      <c r="WNR45" s="129"/>
      <c r="WNS45" s="128"/>
      <c r="WNT45" s="129"/>
      <c r="WNU45" s="128"/>
      <c r="WNV45" s="129"/>
      <c r="WNW45" s="128"/>
      <c r="WNX45" s="129"/>
      <c r="WNY45" s="128"/>
      <c r="WNZ45" s="129"/>
      <c r="WOA45" s="128"/>
      <c r="WOB45" s="129"/>
      <c r="WOC45" s="128"/>
      <c r="WOD45" s="129"/>
      <c r="WOE45" s="128"/>
      <c r="WOF45" s="129"/>
      <c r="WOG45" s="128"/>
      <c r="WOH45" s="129"/>
      <c r="WOI45" s="128"/>
      <c r="WOJ45" s="129"/>
      <c r="WOK45" s="128"/>
      <c r="WOL45" s="129"/>
      <c r="WOM45" s="128"/>
      <c r="WON45" s="129"/>
      <c r="WOO45" s="128"/>
      <c r="WOP45" s="129"/>
      <c r="WOQ45" s="128"/>
      <c r="WOR45" s="129"/>
      <c r="WOS45" s="128"/>
      <c r="WOT45" s="129"/>
      <c r="WOU45" s="128"/>
      <c r="WOV45" s="129"/>
      <c r="WOW45" s="128"/>
      <c r="WOX45" s="129"/>
      <c r="WOY45" s="128"/>
      <c r="WOZ45" s="129"/>
      <c r="WPA45" s="128"/>
      <c r="WPB45" s="129"/>
      <c r="WPC45" s="128"/>
      <c r="WPD45" s="129"/>
      <c r="WPE45" s="128"/>
      <c r="WPF45" s="129"/>
      <c r="WPG45" s="128"/>
      <c r="WPH45" s="129"/>
      <c r="WPI45" s="128"/>
      <c r="WPJ45" s="129"/>
      <c r="WPK45" s="128"/>
      <c r="WPL45" s="129"/>
      <c r="WPM45" s="128"/>
      <c r="WPN45" s="129"/>
      <c r="WPO45" s="128"/>
      <c r="WPP45" s="129"/>
      <c r="WPQ45" s="128"/>
      <c r="WPR45" s="129"/>
      <c r="WPS45" s="128"/>
      <c r="WPT45" s="129"/>
      <c r="WPU45" s="128"/>
      <c r="WPV45" s="129"/>
      <c r="WPW45" s="128"/>
      <c r="WPX45" s="129"/>
      <c r="WPY45" s="128"/>
      <c r="WPZ45" s="129"/>
      <c r="WQA45" s="128"/>
      <c r="WQB45" s="129"/>
      <c r="WQC45" s="128"/>
      <c r="WQD45" s="129"/>
      <c r="WQE45" s="128"/>
      <c r="WQF45" s="129"/>
      <c r="WQG45" s="128"/>
      <c r="WQH45" s="129"/>
      <c r="WQI45" s="128"/>
      <c r="WQJ45" s="129"/>
      <c r="WQK45" s="128"/>
      <c r="WQL45" s="129"/>
      <c r="WQM45" s="128"/>
      <c r="WQN45" s="129"/>
      <c r="WQO45" s="128"/>
      <c r="WQP45" s="129"/>
      <c r="WQQ45" s="128"/>
      <c r="WQR45" s="129"/>
      <c r="WQS45" s="128"/>
      <c r="WQT45" s="129"/>
      <c r="WQU45" s="128"/>
      <c r="WQV45" s="129"/>
      <c r="WQW45" s="128"/>
      <c r="WQX45" s="129"/>
      <c r="WQY45" s="128"/>
      <c r="WQZ45" s="129"/>
      <c r="WRA45" s="128"/>
      <c r="WRB45" s="129"/>
      <c r="WRC45" s="128"/>
      <c r="WRD45" s="129"/>
      <c r="WRE45" s="128"/>
      <c r="WRF45" s="129"/>
      <c r="WRG45" s="128"/>
      <c r="WRH45" s="129"/>
      <c r="WRI45" s="128"/>
      <c r="WRJ45" s="129"/>
      <c r="WRK45" s="128"/>
      <c r="WRL45" s="129"/>
      <c r="WRM45" s="128"/>
      <c r="WRN45" s="129"/>
      <c r="WRO45" s="128"/>
      <c r="WRP45" s="129"/>
      <c r="WRQ45" s="128"/>
      <c r="WRR45" s="129"/>
      <c r="WRS45" s="128"/>
      <c r="WRT45" s="129"/>
      <c r="WRU45" s="128"/>
      <c r="WRV45" s="129"/>
      <c r="WRW45" s="128"/>
      <c r="WRX45" s="129"/>
      <c r="WRY45" s="128"/>
      <c r="WRZ45" s="129"/>
      <c r="WSA45" s="128"/>
      <c r="WSB45" s="129"/>
      <c r="WSC45" s="128"/>
      <c r="WSD45" s="129"/>
      <c r="WSE45" s="128"/>
      <c r="WSF45" s="129"/>
      <c r="WSG45" s="128"/>
      <c r="WSH45" s="129"/>
      <c r="WSI45" s="128"/>
      <c r="WSJ45" s="129"/>
      <c r="WSK45" s="128"/>
      <c r="WSL45" s="129"/>
      <c r="WSM45" s="128"/>
      <c r="WSN45" s="129"/>
      <c r="WSO45" s="128"/>
      <c r="WSP45" s="129"/>
      <c r="WSQ45" s="128"/>
      <c r="WSR45" s="129"/>
      <c r="WSS45" s="128"/>
      <c r="WST45" s="129"/>
      <c r="WSU45" s="128"/>
      <c r="WSV45" s="129"/>
      <c r="WSW45" s="128"/>
      <c r="WSX45" s="129"/>
      <c r="WSY45" s="128"/>
      <c r="WSZ45" s="129"/>
      <c r="WTA45" s="128"/>
      <c r="WTB45" s="129"/>
      <c r="WTC45" s="128"/>
      <c r="WTD45" s="129"/>
      <c r="WTE45" s="128"/>
      <c r="WTF45" s="129"/>
      <c r="WTG45" s="128"/>
      <c r="WTH45" s="129"/>
      <c r="WTI45" s="128"/>
      <c r="WTJ45" s="129"/>
      <c r="WTK45" s="128"/>
      <c r="WTL45" s="129"/>
      <c r="WTM45" s="128"/>
      <c r="WTN45" s="129"/>
      <c r="WTO45" s="128"/>
      <c r="WTP45" s="129"/>
      <c r="WTQ45" s="128"/>
      <c r="WTR45" s="129"/>
      <c r="WTS45" s="128"/>
      <c r="WTT45" s="129"/>
      <c r="WTU45" s="128"/>
      <c r="WTV45" s="129"/>
      <c r="WTW45" s="128"/>
      <c r="WTX45" s="129"/>
      <c r="WTY45" s="128"/>
      <c r="WTZ45" s="129"/>
      <c r="WUA45" s="128"/>
      <c r="WUB45" s="129"/>
      <c r="WUC45" s="128"/>
      <c r="WUD45" s="129"/>
      <c r="WUE45" s="128"/>
      <c r="WUF45" s="129"/>
      <c r="WUG45" s="128"/>
      <c r="WUH45" s="129"/>
      <c r="WUI45" s="128"/>
      <c r="WUJ45" s="129"/>
      <c r="WUK45" s="128"/>
      <c r="WUL45" s="129"/>
      <c r="WUM45" s="128"/>
      <c r="WUN45" s="129"/>
      <c r="WUO45" s="128"/>
      <c r="WUP45" s="129"/>
      <c r="WUQ45" s="128"/>
      <c r="WUR45" s="129"/>
      <c r="WUS45" s="128"/>
      <c r="WUT45" s="129"/>
      <c r="WUU45" s="128"/>
      <c r="WUV45" s="129"/>
      <c r="WUW45" s="128"/>
      <c r="WUX45" s="129"/>
      <c r="WUY45" s="128"/>
      <c r="WUZ45" s="129"/>
      <c r="WVA45" s="128"/>
      <c r="WVB45" s="129"/>
      <c r="WVC45" s="128"/>
      <c r="WVD45" s="129"/>
      <c r="WVE45" s="128"/>
      <c r="WVF45" s="129"/>
      <c r="WVG45" s="128"/>
      <c r="WVH45" s="129"/>
      <c r="WVI45" s="128"/>
      <c r="WVJ45" s="129"/>
      <c r="WVK45" s="128"/>
      <c r="WVL45" s="129"/>
      <c r="WVM45" s="128"/>
      <c r="WVN45" s="129"/>
      <c r="WVO45" s="128"/>
      <c r="WVP45" s="129"/>
      <c r="WVQ45" s="128"/>
      <c r="WVR45" s="129"/>
      <c r="WVS45" s="128"/>
      <c r="WVT45" s="129"/>
      <c r="WVU45" s="128"/>
      <c r="WVV45" s="129"/>
      <c r="WVW45" s="128"/>
      <c r="WVX45" s="129"/>
      <c r="WVY45" s="128"/>
      <c r="WVZ45" s="129"/>
      <c r="WWA45" s="128"/>
      <c r="WWB45" s="129"/>
      <c r="WWC45" s="128"/>
      <c r="WWD45" s="129"/>
      <c r="WWE45" s="128"/>
      <c r="WWF45" s="129"/>
      <c r="WWG45" s="128"/>
      <c r="WWH45" s="129"/>
      <c r="WWI45" s="128"/>
      <c r="WWJ45" s="129"/>
      <c r="WWK45" s="128"/>
      <c r="WWL45" s="129"/>
      <c r="WWM45" s="128"/>
      <c r="WWN45" s="129"/>
      <c r="WWO45" s="128"/>
      <c r="WWP45" s="129"/>
      <c r="WWQ45" s="128"/>
      <c r="WWR45" s="129"/>
      <c r="WWS45" s="128"/>
      <c r="WWT45" s="129"/>
      <c r="WWU45" s="128"/>
      <c r="WWV45" s="129"/>
      <c r="WWW45" s="128"/>
      <c r="WWX45" s="129"/>
      <c r="WWY45" s="128"/>
      <c r="WWZ45" s="129"/>
      <c r="WXA45" s="128"/>
      <c r="WXB45" s="129"/>
      <c r="WXC45" s="128"/>
      <c r="WXD45" s="129"/>
      <c r="WXE45" s="128"/>
      <c r="WXF45" s="129"/>
      <c r="WXG45" s="128"/>
      <c r="WXH45" s="129"/>
      <c r="WXI45" s="128"/>
      <c r="WXJ45" s="129"/>
      <c r="WXK45" s="128"/>
      <c r="WXL45" s="129"/>
      <c r="WXM45" s="128"/>
      <c r="WXN45" s="129"/>
      <c r="WXO45" s="128"/>
      <c r="WXP45" s="129"/>
      <c r="WXQ45" s="128"/>
      <c r="WXR45" s="129"/>
      <c r="WXS45" s="128"/>
      <c r="WXT45" s="129"/>
      <c r="WXU45" s="128"/>
      <c r="WXV45" s="129"/>
      <c r="WXW45" s="128"/>
      <c r="WXX45" s="129"/>
      <c r="WXY45" s="128"/>
      <c r="WXZ45" s="129"/>
      <c r="WYA45" s="128"/>
      <c r="WYB45" s="129"/>
      <c r="WYC45" s="128"/>
      <c r="WYD45" s="129"/>
      <c r="WYE45" s="128"/>
      <c r="WYF45" s="129"/>
      <c r="WYG45" s="128"/>
      <c r="WYH45" s="129"/>
      <c r="WYI45" s="128"/>
      <c r="WYJ45" s="129"/>
      <c r="WYK45" s="128"/>
      <c r="WYL45" s="129"/>
      <c r="WYM45" s="128"/>
      <c r="WYN45" s="129"/>
      <c r="WYO45" s="128"/>
      <c r="WYP45" s="129"/>
      <c r="WYQ45" s="128"/>
      <c r="WYR45" s="129"/>
      <c r="WYS45" s="128"/>
      <c r="WYT45" s="129"/>
      <c r="WYU45" s="128"/>
      <c r="WYV45" s="129"/>
      <c r="WYW45" s="128"/>
      <c r="WYX45" s="129"/>
      <c r="WYY45" s="128"/>
      <c r="WYZ45" s="129"/>
      <c r="WZA45" s="128"/>
      <c r="WZB45" s="129"/>
      <c r="WZC45" s="128"/>
      <c r="WZD45" s="129"/>
      <c r="WZE45" s="128"/>
      <c r="WZF45" s="129"/>
      <c r="WZG45" s="128"/>
      <c r="WZH45" s="129"/>
      <c r="WZI45" s="128"/>
      <c r="WZJ45" s="129"/>
      <c r="WZK45" s="128"/>
      <c r="WZL45" s="129"/>
      <c r="WZM45" s="128"/>
      <c r="WZN45" s="129"/>
      <c r="WZO45" s="128"/>
      <c r="WZP45" s="129"/>
      <c r="WZQ45" s="128"/>
      <c r="WZR45" s="129"/>
      <c r="WZS45" s="128"/>
      <c r="WZT45" s="129"/>
      <c r="WZU45" s="128"/>
      <c r="WZV45" s="129"/>
      <c r="WZW45" s="128"/>
      <c r="WZX45" s="129"/>
      <c r="WZY45" s="128"/>
      <c r="WZZ45" s="129"/>
      <c r="XAA45" s="128"/>
      <c r="XAB45" s="129"/>
      <c r="XAC45" s="128"/>
      <c r="XAD45" s="129"/>
      <c r="XAE45" s="128"/>
      <c r="XAF45" s="129"/>
      <c r="XAG45" s="128"/>
      <c r="XAH45" s="129"/>
      <c r="XAI45" s="128"/>
      <c r="XAJ45" s="129"/>
      <c r="XAK45" s="128"/>
      <c r="XAL45" s="129"/>
      <c r="XAM45" s="128"/>
      <c r="XAN45" s="129"/>
      <c r="XAO45" s="128"/>
      <c r="XAP45" s="129"/>
      <c r="XAQ45" s="128"/>
      <c r="XAR45" s="129"/>
      <c r="XAS45" s="128"/>
      <c r="XAT45" s="129"/>
      <c r="XAU45" s="128"/>
      <c r="XAV45" s="129"/>
      <c r="XAW45" s="128"/>
      <c r="XAX45" s="129"/>
      <c r="XAY45" s="128"/>
      <c r="XAZ45" s="129"/>
      <c r="XBA45" s="128"/>
      <c r="XBB45" s="129"/>
      <c r="XBC45" s="128"/>
      <c r="XBD45" s="129"/>
      <c r="XBE45" s="128"/>
      <c r="XBF45" s="129"/>
      <c r="XBG45" s="128"/>
      <c r="XBH45" s="129"/>
      <c r="XBI45" s="128"/>
      <c r="XBJ45" s="129"/>
      <c r="XBK45" s="128"/>
      <c r="XBL45" s="129"/>
      <c r="XBM45" s="128"/>
      <c r="XBN45" s="129"/>
      <c r="XBO45" s="128"/>
      <c r="XBP45" s="129"/>
      <c r="XBQ45" s="128"/>
      <c r="XBR45" s="129"/>
      <c r="XBS45" s="128"/>
      <c r="XBT45" s="129"/>
      <c r="XBU45" s="128"/>
      <c r="XBV45" s="129"/>
      <c r="XBW45" s="128"/>
      <c r="XBX45" s="129"/>
      <c r="XBY45" s="128"/>
      <c r="XBZ45" s="129"/>
      <c r="XCA45" s="128"/>
      <c r="XCB45" s="129"/>
      <c r="XCC45" s="128"/>
      <c r="XCD45" s="129"/>
      <c r="XCE45" s="128"/>
      <c r="XCF45" s="129"/>
      <c r="XCG45" s="128"/>
      <c r="XCH45" s="129"/>
      <c r="XCI45" s="128"/>
      <c r="XCJ45" s="129"/>
      <c r="XCK45" s="128"/>
      <c r="XCL45" s="129"/>
      <c r="XCM45" s="128"/>
      <c r="XCN45" s="129"/>
      <c r="XCO45" s="128"/>
      <c r="XCP45" s="129"/>
      <c r="XCQ45" s="128"/>
      <c r="XCR45" s="129"/>
      <c r="XCS45" s="128"/>
      <c r="XCT45" s="129"/>
      <c r="XCU45" s="128"/>
      <c r="XCV45" s="129"/>
      <c r="XCW45" s="128"/>
      <c r="XCX45" s="129"/>
      <c r="XCY45" s="128"/>
      <c r="XCZ45" s="129"/>
      <c r="XDA45" s="128"/>
      <c r="XDB45" s="129"/>
      <c r="XDC45" s="128"/>
      <c r="XDD45" s="129"/>
      <c r="XDE45" s="128"/>
      <c r="XDF45" s="129"/>
      <c r="XDG45" s="128"/>
      <c r="XDH45" s="129"/>
      <c r="XDI45" s="128"/>
      <c r="XDJ45" s="129"/>
      <c r="XDK45" s="128"/>
      <c r="XDL45" s="129"/>
      <c r="XDM45" s="128"/>
      <c r="XDN45" s="129"/>
      <c r="XDO45" s="128"/>
      <c r="XDP45" s="129"/>
      <c r="XDQ45" s="128"/>
      <c r="XDR45" s="129"/>
      <c r="XDS45" s="128"/>
      <c r="XDT45" s="129"/>
      <c r="XDU45" s="128"/>
      <c r="XDV45" s="129"/>
      <c r="XDW45" s="128"/>
      <c r="XDX45" s="129"/>
      <c r="XDY45" s="128"/>
      <c r="XDZ45" s="129"/>
      <c r="XEA45" s="128"/>
      <c r="XEB45" s="129"/>
      <c r="XEC45" s="128"/>
      <c r="XED45" s="129"/>
      <c r="XEE45" s="128"/>
      <c r="XEF45" s="129"/>
      <c r="XEG45" s="128"/>
      <c r="XEH45" s="129"/>
      <c r="XEI45" s="128"/>
      <c r="XEJ45" s="129"/>
      <c r="XEK45" s="128"/>
      <c r="XEL45" s="129"/>
      <c r="XEM45" s="128"/>
      <c r="XEN45" s="129"/>
      <c r="XEO45" s="128"/>
      <c r="XEP45" s="129"/>
      <c r="XEQ45" s="128"/>
      <c r="XER45" s="129"/>
      <c r="XES45" s="128"/>
      <c r="XET45" s="129"/>
      <c r="XEU45" s="128"/>
      <c r="XEV45" s="129"/>
      <c r="XEW45" s="128"/>
      <c r="XEX45" s="129"/>
      <c r="XEY45" s="128"/>
      <c r="XEZ45" s="129"/>
      <c r="XFA45" s="128"/>
      <c r="XFB45" s="129"/>
      <c r="XFC45" s="128"/>
      <c r="XFD45" s="129"/>
    </row>
    <row r="46" ht="19.5" customHeight="1" spans="1:19">
      <c r="A46" s="121"/>
      <c r="B46" s="122"/>
      <c r="C46" s="133" t="s">
        <v>13</v>
      </c>
      <c r="D46" s="134"/>
      <c r="E46" s="135">
        <f>项目公司利润与利润分配表!E38</f>
        <v>0</v>
      </c>
      <c r="F46" s="136">
        <f>项目公司利润与利润分配表!F38</f>
        <v>0</v>
      </c>
      <c r="G46" s="135">
        <f>项目公司利润与利润分配表!G38</f>
        <v>0</v>
      </c>
      <c r="H46" s="136">
        <f>项目公司利润与利润分配表!H38</f>
        <v>0</v>
      </c>
      <c r="I46" s="135">
        <f>项目公司利润与利润分配表!I38</f>
        <v>0</v>
      </c>
      <c r="J46" s="136">
        <f>项目公司利润与利润分配表!J38</f>
        <v>0</v>
      </c>
      <c r="K46" s="135">
        <f>项目公司利润与利润分配表!K38</f>
        <v>0</v>
      </c>
      <c r="L46" s="136">
        <f>项目公司利润与利润分配表!L38</f>
        <v>0</v>
      </c>
      <c r="M46" s="135">
        <f>项目公司利润与利润分配表!M38</f>
        <v>0</v>
      </c>
      <c r="N46" s="136">
        <f>项目公司利润与利润分配表!N38</f>
        <v>0</v>
      </c>
      <c r="O46" s="135">
        <f>项目公司利润与利润分配表!O38</f>
        <v>0</v>
      </c>
      <c r="P46" s="136">
        <f>项目公司利润与利润分配表!P38</f>
        <v>0</v>
      </c>
      <c r="Q46" s="135">
        <f>项目公司利润与利润分配表!Q38</f>
        <v>-344.877240616658</v>
      </c>
      <c r="R46" s="135">
        <f>项目公司利润与利润分配表!R38</f>
        <v>-103.123828637301</v>
      </c>
      <c r="S46" s="135">
        <f>项目公司利润与利润分配表!S38</f>
        <v>138.629583342056</v>
      </c>
    </row>
    <row r="47" ht="19.5" customHeight="1" spans="1:19">
      <c r="A47" s="121"/>
      <c r="B47" s="122"/>
      <c r="C47" s="123" t="s">
        <v>14</v>
      </c>
      <c r="D47" s="120"/>
      <c r="E47" s="137">
        <f>项目公司利润与利润分配表!E39</f>
        <v>0</v>
      </c>
      <c r="F47" s="138">
        <f>项目公司利润与利润分配表!F39</f>
        <v>0</v>
      </c>
      <c r="G47" s="137">
        <f>项目公司利润与利润分配表!G39</f>
        <v>0</v>
      </c>
      <c r="H47" s="138">
        <f>项目公司利润与利润分配表!H39</f>
        <v>0</v>
      </c>
      <c r="I47" s="137">
        <f>项目公司利润与利润分配表!I39</f>
        <v>0</v>
      </c>
      <c r="J47" s="138">
        <f>项目公司利润与利润分配表!J39</f>
        <v>0</v>
      </c>
      <c r="K47" s="137">
        <f>项目公司利润与利润分配表!K39</f>
        <v>0</v>
      </c>
      <c r="L47" s="138">
        <f>项目公司利润与利润分配表!L39</f>
        <v>0</v>
      </c>
      <c r="M47" s="137">
        <f>项目公司利润与利润分配表!M39</f>
        <v>0</v>
      </c>
      <c r="N47" s="138">
        <f>项目公司利润与利润分配表!N39</f>
        <v>0</v>
      </c>
      <c r="O47" s="137">
        <f>项目公司利润与利润分配表!O39</f>
        <v>0</v>
      </c>
      <c r="P47" s="138">
        <f>项目公司利润与利润分配表!P39</f>
        <v>0</v>
      </c>
      <c r="Q47" s="137">
        <f>项目公司利润与利润分配表!Q39</f>
        <v>234.428930259369</v>
      </c>
      <c r="R47" s="138">
        <f>项目公司利润与利润分配表!R39</f>
        <v>416.730283215733</v>
      </c>
      <c r="S47" s="137">
        <f>项目公司利润与利润分配表!S39</f>
        <v>598.952025795868</v>
      </c>
    </row>
    <row r="48" ht="19.5" customHeight="1" spans="1:19">
      <c r="A48" s="124"/>
      <c r="B48" s="125"/>
      <c r="C48" s="123" t="s">
        <v>15</v>
      </c>
      <c r="D48" s="120"/>
      <c r="E48" s="137">
        <f>项目公司利润与利润分配表!E40</f>
        <v>0</v>
      </c>
      <c r="F48" s="138">
        <f>项目公司利润与利润分配表!F40</f>
        <v>0</v>
      </c>
      <c r="G48" s="137">
        <f>项目公司利润与利润分配表!G40</f>
        <v>0</v>
      </c>
      <c r="H48" s="138">
        <f>项目公司利润与利润分配表!H40</f>
        <v>0</v>
      </c>
      <c r="I48" s="137">
        <f>项目公司利润与利润分配表!I40</f>
        <v>0</v>
      </c>
      <c r="J48" s="138">
        <f>项目公司利润与利润分配表!J40</f>
        <v>0</v>
      </c>
      <c r="K48" s="137">
        <f>项目公司利润与利润分配表!K40</f>
        <v>0</v>
      </c>
      <c r="L48" s="138">
        <f>项目公司利润与利润分配表!L40</f>
        <v>0</v>
      </c>
      <c r="M48" s="137">
        <f>项目公司利润与利润分配表!M40</f>
        <v>0</v>
      </c>
      <c r="N48" s="138">
        <f>项目公司利润与利润分配表!N40</f>
        <v>0</v>
      </c>
      <c r="O48" s="137">
        <f>项目公司利润与利润分配表!O40</f>
        <v>0</v>
      </c>
      <c r="P48" s="138">
        <f>项目公司利润与利润分配表!P40</f>
        <v>0</v>
      </c>
      <c r="Q48" s="137">
        <f>项目公司利润与利润分配表!Q40</f>
        <v>199.72114133037</v>
      </c>
      <c r="R48" s="138">
        <f>项目公司利润与利润分配表!R40</f>
        <v>689.177801659069</v>
      </c>
      <c r="S48" s="137">
        <f>项目公司利润与利润分配表!S40</f>
        <v>1178.30435214641</v>
      </c>
    </row>
    <row r="49" ht="19.5" customHeight="1" spans="1:19">
      <c r="A49" s="117">
        <v>2.6</v>
      </c>
      <c r="B49" s="118" t="s">
        <v>52</v>
      </c>
      <c r="C49" s="119" t="s">
        <v>4</v>
      </c>
      <c r="D49" s="120">
        <f>项目公司利润与利润分配表!D53</f>
        <v>18618.64078679</v>
      </c>
      <c r="E49" s="120">
        <f>项目公司利润与利润分配表!E53</f>
        <v>0</v>
      </c>
      <c r="F49" s="120">
        <f>项目公司利润与利润分配表!F53</f>
        <v>0</v>
      </c>
      <c r="G49" s="120">
        <f>项目公司利润与利润分配表!G53</f>
        <v>0</v>
      </c>
      <c r="H49" s="120">
        <f>项目公司利润与利润分配表!H53</f>
        <v>0</v>
      </c>
      <c r="I49" s="120">
        <f>项目公司利润与利润分配表!I53</f>
        <v>0</v>
      </c>
      <c r="J49" s="120">
        <f>项目公司利润与利润分配表!J53</f>
        <v>0</v>
      </c>
      <c r="K49" s="120">
        <f>项目公司利润与利润分配表!K53</f>
        <v>0</v>
      </c>
      <c r="L49" s="120">
        <f>项目公司利润与利润分配表!L53</f>
        <v>0</v>
      </c>
      <c r="M49" s="120">
        <f>项目公司利润与利润分配表!M53</f>
        <v>0</v>
      </c>
      <c r="N49" s="120">
        <f>项目公司利润与利润分配表!N53</f>
        <v>276.555156171799</v>
      </c>
      <c r="O49" s="120">
        <f>项目公司利润与利润分配表!O53</f>
        <v>812.25096069822</v>
      </c>
      <c r="P49" s="120">
        <f>项目公司利润与利润分配表!P53</f>
        <v>2748.02210653545</v>
      </c>
      <c r="Q49" s="120">
        <f>项目公司利润与利润分配表!Q53</f>
        <v>3902.22539235808</v>
      </c>
      <c r="R49" s="120">
        <f>项目公司利润与利润分配表!R53</f>
        <v>4906.14299346705</v>
      </c>
      <c r="S49" s="120">
        <f>项目公司利润与利润分配表!S53</f>
        <v>5973.44417755945</v>
      </c>
    </row>
    <row r="50" ht="19.5" customHeight="1" spans="1:19">
      <c r="A50" s="121"/>
      <c r="B50" s="122"/>
      <c r="C50" s="123" t="s">
        <v>13</v>
      </c>
      <c r="D50" s="120">
        <f>项目公司利润与利润分配表!D54</f>
        <v>5607.13070016</v>
      </c>
      <c r="E50" s="120">
        <f>项目公司利润与利润分配表!E54</f>
        <v>0</v>
      </c>
      <c r="F50" s="120">
        <f>项目公司利润与利润分配表!F54</f>
        <v>0</v>
      </c>
      <c r="G50" s="120">
        <f>项目公司利润与利润分配表!G54</f>
        <v>0</v>
      </c>
      <c r="H50" s="120">
        <f>项目公司利润与利润分配表!H54</f>
        <v>0</v>
      </c>
      <c r="I50" s="120">
        <f>项目公司利润与利润分配表!I54</f>
        <v>0</v>
      </c>
      <c r="J50" s="120">
        <f>项目公司利润与利润分配表!J54</f>
        <v>0</v>
      </c>
      <c r="K50" s="120">
        <f>项目公司利润与利润分配表!K54</f>
        <v>0</v>
      </c>
      <c r="L50" s="120">
        <f>项目公司利润与利润分配表!L54</f>
        <v>0</v>
      </c>
      <c r="M50" s="120">
        <f>项目公司利润与利润分配表!M54</f>
        <v>0</v>
      </c>
      <c r="N50" s="120">
        <f>项目公司利润与利润分配表!N54</f>
        <v>116.895813616777</v>
      </c>
      <c r="O50" s="120">
        <f>项目公司利润与利润分配表!O54</f>
        <v>257.684308749136</v>
      </c>
      <c r="P50" s="120">
        <f>项目公司利润与利润分配表!P54</f>
        <v>810.370497390215</v>
      </c>
      <c r="Q50" s="120">
        <f>项目公司利润与利润分配表!Q54</f>
        <v>1205.32848022217</v>
      </c>
      <c r="R50" s="120">
        <f>项目公司利润与利润分配表!R54</f>
        <v>1468.77680451161</v>
      </c>
      <c r="S50" s="120">
        <f>项目公司利润与利润分配表!S54</f>
        <v>1748.07479567009</v>
      </c>
    </row>
    <row r="51" ht="19.5" customHeight="1" spans="1:19">
      <c r="A51" s="121"/>
      <c r="B51" s="122"/>
      <c r="C51" s="123" t="s">
        <v>14</v>
      </c>
      <c r="D51" s="120">
        <f>项目公司利润与利润分配表!D55</f>
        <v>3284.70436259918</v>
      </c>
      <c r="E51" s="120">
        <f>项目公司利润与利润分配表!E55</f>
        <v>0</v>
      </c>
      <c r="F51" s="120">
        <f>项目公司利润与利润分配表!F55</f>
        <v>0</v>
      </c>
      <c r="G51" s="120">
        <f>项目公司利润与利润分配表!G55</f>
        <v>0</v>
      </c>
      <c r="H51" s="120">
        <f>项目公司利润与利润分配表!H55</f>
        <v>0</v>
      </c>
      <c r="I51" s="120">
        <f>项目公司利润与利润分配表!I55</f>
        <v>0</v>
      </c>
      <c r="J51" s="120">
        <f>项目公司利润与利润分配表!J55</f>
        <v>0</v>
      </c>
      <c r="K51" s="120">
        <f>项目公司利润与利润分配表!K55</f>
        <v>0</v>
      </c>
      <c r="L51" s="120">
        <f>项目公司利润与利润分配表!L55</f>
        <v>0</v>
      </c>
      <c r="M51" s="120">
        <f>项目公司利润与利润分配表!M55</f>
        <v>0</v>
      </c>
      <c r="N51" s="120">
        <f>项目公司利润与利润分配表!N55</f>
        <v>30.1532363806973</v>
      </c>
      <c r="O51" s="120">
        <f>项目公司利润与利润分配表!O55</f>
        <v>136.436116598099</v>
      </c>
      <c r="P51" s="120">
        <f>项目公司利润与利润分配表!P55</f>
        <v>495.755201564061</v>
      </c>
      <c r="Q51" s="120">
        <f>项目公司利润与利润分配表!Q55</f>
        <v>670.826155220173</v>
      </c>
      <c r="R51" s="120">
        <f>项目公司利润与利润分配表!R55</f>
        <v>869.884223006106</v>
      </c>
      <c r="S51" s="120">
        <f>项目公司利润与利润分配表!S55</f>
        <v>1081.64942983004</v>
      </c>
    </row>
    <row r="52" ht="19.5" customHeight="1" spans="1:19">
      <c r="A52" s="124"/>
      <c r="B52" s="125"/>
      <c r="C52" s="123" t="s">
        <v>15</v>
      </c>
      <c r="D52" s="120">
        <f>项目公司利润与利润分配表!D56</f>
        <v>9726.80572403087</v>
      </c>
      <c r="E52" s="120">
        <f>项目公司利润与利润分配表!E56</f>
        <v>0</v>
      </c>
      <c r="F52" s="120">
        <f>项目公司利润与利润分配表!F56</f>
        <v>0</v>
      </c>
      <c r="G52" s="120">
        <f>项目公司利润与利润分配表!G56</f>
        <v>0</v>
      </c>
      <c r="H52" s="120">
        <f>项目公司利润与利润分配表!H56</f>
        <v>0</v>
      </c>
      <c r="I52" s="120">
        <f>项目公司利润与利润分配表!I56</f>
        <v>0</v>
      </c>
      <c r="J52" s="120">
        <f>项目公司利润与利润分配表!J56</f>
        <v>0</v>
      </c>
      <c r="K52" s="120">
        <f>项目公司利润与利润分配表!K56</f>
        <v>0</v>
      </c>
      <c r="L52" s="120">
        <f>项目公司利润与利润分配表!L56</f>
        <v>0</v>
      </c>
      <c r="M52" s="120">
        <f>项目公司利润与利润分配表!M56</f>
        <v>0</v>
      </c>
      <c r="N52" s="120">
        <f>项目公司利润与利润分配表!N56</f>
        <v>129.506106174325</v>
      </c>
      <c r="O52" s="120">
        <f>项目公司利润与利润分配表!O56</f>
        <v>418.130535350985</v>
      </c>
      <c r="P52" s="120">
        <f>项目公司利润与利润分配表!P56</f>
        <v>1441.89640758117</v>
      </c>
      <c r="Q52" s="120">
        <f>项目公司利润与利润分配表!Q56</f>
        <v>2026.07075691574</v>
      </c>
      <c r="R52" s="120">
        <f>项目公司利润与利润分配表!R56</f>
        <v>2567.48196594933</v>
      </c>
      <c r="S52" s="120">
        <f>项目公司利润与利润分配表!S56</f>
        <v>3143.71995205932</v>
      </c>
    </row>
    <row r="53" ht="19.5" customHeight="1" spans="1:19">
      <c r="A53" s="117">
        <v>2.7</v>
      </c>
      <c r="B53" s="118" t="s">
        <v>405</v>
      </c>
      <c r="C53" s="119" t="s">
        <v>4</v>
      </c>
      <c r="D53" s="120"/>
      <c r="E53" s="120"/>
      <c r="F53" s="120"/>
      <c r="G53" s="120"/>
      <c r="H53" s="120"/>
      <c r="I53" s="120"/>
      <c r="J53" s="120"/>
      <c r="K53" s="120"/>
      <c r="L53" s="120"/>
      <c r="M53" s="120"/>
      <c r="N53" s="120"/>
      <c r="O53" s="120"/>
      <c r="P53" s="120"/>
      <c r="Q53" s="120"/>
      <c r="R53" s="120"/>
      <c r="S53" s="120"/>
    </row>
    <row r="54" ht="19.5" customHeight="1" spans="1:19">
      <c r="A54" s="121"/>
      <c r="B54" s="122"/>
      <c r="C54" s="123" t="s">
        <v>13</v>
      </c>
      <c r="D54" s="120"/>
      <c r="E54" s="120"/>
      <c r="F54" s="120"/>
      <c r="G54" s="120"/>
      <c r="H54" s="120"/>
      <c r="I54" s="120"/>
      <c r="J54" s="120"/>
      <c r="K54" s="120"/>
      <c r="L54" s="120"/>
      <c r="M54" s="120"/>
      <c r="N54" s="120"/>
      <c r="O54" s="120"/>
      <c r="P54" s="120"/>
      <c r="Q54" s="120"/>
      <c r="R54" s="120"/>
      <c r="S54" s="120"/>
    </row>
    <row r="55" ht="19.5" customHeight="1" spans="1:19">
      <c r="A55" s="121"/>
      <c r="B55" s="122"/>
      <c r="C55" s="123" t="s">
        <v>14</v>
      </c>
      <c r="D55" s="120"/>
      <c r="E55" s="120"/>
      <c r="F55" s="120"/>
      <c r="G55" s="120"/>
      <c r="H55" s="120"/>
      <c r="I55" s="120"/>
      <c r="J55" s="120"/>
      <c r="K55" s="120"/>
      <c r="L55" s="120"/>
      <c r="M55" s="120"/>
      <c r="N55" s="120"/>
      <c r="O55" s="120"/>
      <c r="P55" s="120"/>
      <c r="Q55" s="120"/>
      <c r="R55" s="120"/>
      <c r="S55" s="120"/>
    </row>
    <row r="56" ht="19.5" customHeight="1" spans="1:19">
      <c r="A56" s="124"/>
      <c r="B56" s="125"/>
      <c r="C56" s="123" t="s">
        <v>15</v>
      </c>
      <c r="D56" s="120"/>
      <c r="E56" s="120"/>
      <c r="F56" s="120"/>
      <c r="G56" s="120"/>
      <c r="H56" s="120"/>
      <c r="I56" s="120"/>
      <c r="J56" s="120"/>
      <c r="K56" s="120"/>
      <c r="L56" s="120"/>
      <c r="M56" s="120"/>
      <c r="N56" s="120"/>
      <c r="O56" s="120"/>
      <c r="P56" s="120"/>
      <c r="Q56" s="120"/>
      <c r="R56" s="120"/>
      <c r="S56" s="120"/>
    </row>
    <row r="57" ht="19.5" customHeight="1" spans="1:19">
      <c r="A57" s="117">
        <v>3</v>
      </c>
      <c r="B57" s="118" t="s">
        <v>406</v>
      </c>
      <c r="C57" s="119" t="s">
        <v>4</v>
      </c>
      <c r="D57" s="120">
        <f>SUM(E57:S57)</f>
        <v>37425.0614396221</v>
      </c>
      <c r="E57" s="120">
        <f t="shared" ref="E57:S57" si="42">E5-E25</f>
        <v>-65101.98794476</v>
      </c>
      <c r="F57" s="120">
        <f t="shared" si="42"/>
        <v>-56464.21934476</v>
      </c>
      <c r="G57" s="120">
        <f t="shared" si="42"/>
        <v>-56464.21934476</v>
      </c>
      <c r="H57" s="120">
        <f t="shared" si="42"/>
        <v>-30550.91354476</v>
      </c>
      <c r="I57" s="120">
        <f t="shared" si="42"/>
        <v>-30550.91354476</v>
      </c>
      <c r="J57" s="120">
        <f t="shared" si="42"/>
        <v>29517.5955950212</v>
      </c>
      <c r="K57" s="120">
        <f t="shared" si="42"/>
        <v>29517.5955950212</v>
      </c>
      <c r="L57" s="120">
        <f t="shared" si="42"/>
        <v>29517.5955950212</v>
      </c>
      <c r="M57" s="120">
        <f t="shared" si="42"/>
        <v>29517.5955950212</v>
      </c>
      <c r="N57" s="120">
        <f t="shared" si="42"/>
        <v>29241.0404388494</v>
      </c>
      <c r="O57" s="120">
        <f t="shared" si="42"/>
        <v>28705.344634323</v>
      </c>
      <c r="P57" s="120">
        <f t="shared" si="42"/>
        <v>26769.5734884858</v>
      </c>
      <c r="Q57" s="120">
        <f t="shared" si="42"/>
        <v>25615.3702026632</v>
      </c>
      <c r="R57" s="120">
        <f t="shared" si="42"/>
        <v>24611.4526015542</v>
      </c>
      <c r="S57" s="120">
        <f t="shared" si="42"/>
        <v>23544.1514174618</v>
      </c>
    </row>
    <row r="58" ht="19.5" customHeight="1" spans="1:19">
      <c r="A58" s="121"/>
      <c r="B58" s="122"/>
      <c r="C58" s="123" t="s">
        <v>13</v>
      </c>
      <c r="D58" s="120">
        <f t="shared" ref="D58:D60" si="43">SUM(E58:S58)</f>
        <v>9099.6624455298</v>
      </c>
      <c r="E58" s="120">
        <f t="shared" ref="E58:S58" si="44">E6-E26</f>
        <v>-15570.47423144</v>
      </c>
      <c r="F58" s="120">
        <f t="shared" si="44"/>
        <v>-14060.46243144</v>
      </c>
      <c r="G58" s="120">
        <f t="shared" si="44"/>
        <v>-14060.46243144</v>
      </c>
      <c r="H58" s="120">
        <f t="shared" si="44"/>
        <v>-9530.42703144</v>
      </c>
      <c r="I58" s="120">
        <f t="shared" si="44"/>
        <v>-9530.42703144</v>
      </c>
      <c r="J58" s="120">
        <f t="shared" si="44"/>
        <v>7745.90463028898</v>
      </c>
      <c r="K58" s="120">
        <f t="shared" si="44"/>
        <v>7745.90463028898</v>
      </c>
      <c r="L58" s="120">
        <f t="shared" si="44"/>
        <v>7745.90463028898</v>
      </c>
      <c r="M58" s="120">
        <f t="shared" si="44"/>
        <v>7745.90463028898</v>
      </c>
      <c r="N58" s="120">
        <f t="shared" si="44"/>
        <v>7629.00881667221</v>
      </c>
      <c r="O58" s="120">
        <f t="shared" si="44"/>
        <v>7488.22032153984</v>
      </c>
      <c r="P58" s="120">
        <f t="shared" si="44"/>
        <v>6935.53413289876</v>
      </c>
      <c r="Q58" s="120">
        <f t="shared" si="44"/>
        <v>6540.57615006682</v>
      </c>
      <c r="R58" s="120">
        <f t="shared" si="44"/>
        <v>6277.12782577737</v>
      </c>
      <c r="S58" s="120">
        <f t="shared" si="44"/>
        <v>5997.8298346189</v>
      </c>
    </row>
    <row r="59" ht="19.5" customHeight="1" spans="1:19">
      <c r="A59" s="121"/>
      <c r="B59" s="122"/>
      <c r="C59" s="123" t="s">
        <v>14</v>
      </c>
      <c r="D59" s="120">
        <f t="shared" si="43"/>
        <v>7846.5760746856</v>
      </c>
      <c r="E59" s="120">
        <f t="shared" ref="E59:S59" si="45">E7-E27</f>
        <v>-13700.57109852</v>
      </c>
      <c r="F59" s="120">
        <f t="shared" si="45"/>
        <v>-11599.87929852</v>
      </c>
      <c r="G59" s="120">
        <f t="shared" si="45"/>
        <v>-11599.87929852</v>
      </c>
      <c r="H59" s="120">
        <f t="shared" si="45"/>
        <v>-5297.80389852</v>
      </c>
      <c r="I59" s="120">
        <f t="shared" si="45"/>
        <v>-5297.80389852</v>
      </c>
      <c r="J59" s="120">
        <f t="shared" si="45"/>
        <v>5862.72179298848</v>
      </c>
      <c r="K59" s="120">
        <f t="shared" si="45"/>
        <v>5862.72179298848</v>
      </c>
      <c r="L59" s="120">
        <f t="shared" si="45"/>
        <v>5862.72179298848</v>
      </c>
      <c r="M59" s="120">
        <f t="shared" si="45"/>
        <v>5862.72179298848</v>
      </c>
      <c r="N59" s="120">
        <f t="shared" si="45"/>
        <v>5832.56855660778</v>
      </c>
      <c r="O59" s="120">
        <f t="shared" si="45"/>
        <v>5726.28567639038</v>
      </c>
      <c r="P59" s="120">
        <f t="shared" si="45"/>
        <v>5366.96659142441</v>
      </c>
      <c r="Q59" s="120">
        <f t="shared" si="45"/>
        <v>5191.8956377683</v>
      </c>
      <c r="R59" s="120">
        <f t="shared" si="45"/>
        <v>4992.83756998237</v>
      </c>
      <c r="S59" s="120">
        <f t="shared" si="45"/>
        <v>4781.07236315843</v>
      </c>
    </row>
    <row r="60" ht="19.5" customHeight="1" spans="1:19">
      <c r="A60" s="124"/>
      <c r="B60" s="125"/>
      <c r="C60" s="123" t="s">
        <v>15</v>
      </c>
      <c r="D60" s="120">
        <f t="shared" si="43"/>
        <v>20478.8229194066</v>
      </c>
      <c r="E60" s="120">
        <f t="shared" ref="E60:S60" si="46">E8-E28</f>
        <v>-35830.9426148</v>
      </c>
      <c r="F60" s="120">
        <f t="shared" si="46"/>
        <v>-30803.8776148</v>
      </c>
      <c r="G60" s="120">
        <f t="shared" si="46"/>
        <v>-30803.8776148</v>
      </c>
      <c r="H60" s="120">
        <f t="shared" si="46"/>
        <v>-15722.6826148</v>
      </c>
      <c r="I60" s="120">
        <f t="shared" si="46"/>
        <v>-15722.6826148</v>
      </c>
      <c r="J60" s="120">
        <f t="shared" si="46"/>
        <v>15908.9691717438</v>
      </c>
      <c r="K60" s="120">
        <f t="shared" si="46"/>
        <v>15908.9691717438</v>
      </c>
      <c r="L60" s="120">
        <f t="shared" si="46"/>
        <v>15908.9691717438</v>
      </c>
      <c r="M60" s="120">
        <f t="shared" si="46"/>
        <v>15908.9691717438</v>
      </c>
      <c r="N60" s="120">
        <f t="shared" si="46"/>
        <v>15779.4630655694</v>
      </c>
      <c r="O60" s="120">
        <f t="shared" si="46"/>
        <v>15490.8386363928</v>
      </c>
      <c r="P60" s="120">
        <f t="shared" si="46"/>
        <v>14467.0727641626</v>
      </c>
      <c r="Q60" s="120">
        <f t="shared" si="46"/>
        <v>13882.898414828</v>
      </c>
      <c r="R60" s="120">
        <f t="shared" si="46"/>
        <v>13341.4872057944</v>
      </c>
      <c r="S60" s="120">
        <f t="shared" si="46"/>
        <v>12765.2492196844</v>
      </c>
    </row>
    <row r="61" ht="19.5" customHeight="1" spans="1:19">
      <c r="A61" s="117">
        <v>4</v>
      </c>
      <c r="B61" s="118" t="s">
        <v>407</v>
      </c>
      <c r="C61" s="119" t="s">
        <v>4</v>
      </c>
      <c r="D61" s="120"/>
      <c r="E61" s="120">
        <f>E57</f>
        <v>-65101.98794476</v>
      </c>
      <c r="F61" s="120">
        <f>E61+F57</f>
        <v>-121566.20728952</v>
      </c>
      <c r="G61" s="120">
        <f>F61+G57</f>
        <v>-178030.42663428</v>
      </c>
      <c r="H61" s="139">
        <f t="shared" ref="H61:S61" si="47">G61+H57</f>
        <v>-208581.34017904</v>
      </c>
      <c r="I61" s="120">
        <f t="shared" si="47"/>
        <v>-239132.2537238</v>
      </c>
      <c r="J61" s="120">
        <f t="shared" si="47"/>
        <v>-209614.658128779</v>
      </c>
      <c r="K61" s="120">
        <f t="shared" si="47"/>
        <v>-180097.062533758</v>
      </c>
      <c r="L61" s="120">
        <f t="shared" si="47"/>
        <v>-150579.466938736</v>
      </c>
      <c r="M61" s="120">
        <f t="shared" si="47"/>
        <v>-121061.871343715</v>
      </c>
      <c r="N61" s="120">
        <f t="shared" si="47"/>
        <v>-91820.8309048658</v>
      </c>
      <c r="O61" s="120">
        <f t="shared" si="47"/>
        <v>-63115.4862705428</v>
      </c>
      <c r="P61" s="120">
        <f t="shared" si="47"/>
        <v>-36345.912782057</v>
      </c>
      <c r="Q61" s="120">
        <f t="shared" si="47"/>
        <v>-10730.5425793939</v>
      </c>
      <c r="R61" s="120">
        <f t="shared" si="47"/>
        <v>13880.9100221603</v>
      </c>
      <c r="S61" s="120">
        <f t="shared" si="47"/>
        <v>37425.0614396221</v>
      </c>
    </row>
    <row r="62" ht="19.5" customHeight="1" spans="1:19">
      <c r="A62" s="121"/>
      <c r="B62" s="122"/>
      <c r="C62" s="123" t="s">
        <v>13</v>
      </c>
      <c r="D62" s="120"/>
      <c r="E62" s="120">
        <f t="shared" ref="E62:E64" si="48">E58</f>
        <v>-15570.47423144</v>
      </c>
      <c r="F62" s="120">
        <f t="shared" ref="F62:G62" si="49">E62+F58</f>
        <v>-29630.93666288</v>
      </c>
      <c r="G62" s="120">
        <f t="shared" si="49"/>
        <v>-43691.39909432</v>
      </c>
      <c r="H62" s="139">
        <f t="shared" ref="H62:H64" si="50">G62+H58</f>
        <v>-53221.82612576</v>
      </c>
      <c r="I62" s="120">
        <f t="shared" ref="I62:I64" si="51">H62+I58</f>
        <v>-62752.2531572</v>
      </c>
      <c r="J62" s="120">
        <f t="shared" ref="J62:J64" si="52">I62+J58</f>
        <v>-55006.348526911</v>
      </c>
      <c r="K62" s="120">
        <f t="shared" ref="K62:K64" si="53">J62+K58</f>
        <v>-47260.4438966221</v>
      </c>
      <c r="L62" s="120">
        <f t="shared" ref="L62:L64" si="54">K62+L58</f>
        <v>-39514.5392663331</v>
      </c>
      <c r="M62" s="120">
        <f t="shared" ref="M62:M64" si="55">L62+M58</f>
        <v>-31768.6346360441</v>
      </c>
      <c r="N62" s="120">
        <f t="shared" ref="N62:N64" si="56">M62+N58</f>
        <v>-24139.6258193719</v>
      </c>
      <c r="O62" s="120">
        <f t="shared" ref="O62:O64" si="57">N62+O58</f>
        <v>-16651.405497832</v>
      </c>
      <c r="P62" s="120">
        <f t="shared" ref="P62:P64" si="58">O62+P58</f>
        <v>-9715.87136493328</v>
      </c>
      <c r="Q62" s="120">
        <f t="shared" ref="Q62:Q64" si="59">P62+Q58</f>
        <v>-3175.29521486646</v>
      </c>
      <c r="R62" s="120">
        <f t="shared" ref="R62:R64" si="60">Q62+R58</f>
        <v>3101.8326109109</v>
      </c>
      <c r="S62" s="120">
        <f t="shared" ref="S62:S64" si="61">R62+S58</f>
        <v>9099.6624455298</v>
      </c>
    </row>
    <row r="63" ht="19.5" customHeight="1" spans="1:19">
      <c r="A63" s="121"/>
      <c r="B63" s="122"/>
      <c r="C63" s="123" t="s">
        <v>14</v>
      </c>
      <c r="D63" s="120"/>
      <c r="E63" s="120">
        <f t="shared" si="48"/>
        <v>-13700.57109852</v>
      </c>
      <c r="F63" s="120">
        <f t="shared" ref="F63:G63" si="62">E63+F59</f>
        <v>-25300.45039704</v>
      </c>
      <c r="G63" s="120">
        <f t="shared" si="62"/>
        <v>-36900.32969556</v>
      </c>
      <c r="H63" s="139">
        <f t="shared" si="50"/>
        <v>-42198.13359408</v>
      </c>
      <c r="I63" s="120">
        <f t="shared" si="51"/>
        <v>-47495.9374926</v>
      </c>
      <c r="J63" s="120">
        <f t="shared" si="52"/>
        <v>-41633.2156996115</v>
      </c>
      <c r="K63" s="120">
        <f t="shared" si="53"/>
        <v>-35770.493906623</v>
      </c>
      <c r="L63" s="120">
        <f t="shared" si="54"/>
        <v>-29907.7721136346</v>
      </c>
      <c r="M63" s="120">
        <f t="shared" si="55"/>
        <v>-24045.0503206461</v>
      </c>
      <c r="N63" s="120">
        <f t="shared" si="56"/>
        <v>-18212.4817640383</v>
      </c>
      <c r="O63" s="120">
        <f t="shared" si="57"/>
        <v>-12486.1960876479</v>
      </c>
      <c r="P63" s="120">
        <f t="shared" si="58"/>
        <v>-7119.22949622351</v>
      </c>
      <c r="Q63" s="120">
        <f t="shared" si="59"/>
        <v>-1927.33385845521</v>
      </c>
      <c r="R63" s="120">
        <f t="shared" si="60"/>
        <v>3065.50371152716</v>
      </c>
      <c r="S63" s="120">
        <f t="shared" si="61"/>
        <v>7846.5760746856</v>
      </c>
    </row>
    <row r="64" ht="19.5" customHeight="1" spans="1:19">
      <c r="A64" s="124"/>
      <c r="B64" s="125"/>
      <c r="C64" s="123" t="s">
        <v>15</v>
      </c>
      <c r="D64" s="120"/>
      <c r="E64" s="120">
        <f t="shared" si="48"/>
        <v>-35830.9426148</v>
      </c>
      <c r="F64" s="120">
        <f t="shared" ref="F64:G64" si="63">E64+F60</f>
        <v>-66634.8202296</v>
      </c>
      <c r="G64" s="120">
        <f t="shared" si="63"/>
        <v>-97438.6978444</v>
      </c>
      <c r="H64" s="139">
        <f t="shared" si="50"/>
        <v>-113161.3804592</v>
      </c>
      <c r="I64" s="120">
        <f t="shared" si="51"/>
        <v>-128884.063074</v>
      </c>
      <c r="J64" s="120">
        <f t="shared" si="52"/>
        <v>-112975.093902256</v>
      </c>
      <c r="K64" s="120">
        <f t="shared" si="53"/>
        <v>-97066.1247305125</v>
      </c>
      <c r="L64" s="120">
        <f t="shared" si="54"/>
        <v>-81157.1555587687</v>
      </c>
      <c r="M64" s="120">
        <f t="shared" si="55"/>
        <v>-65248.186387025</v>
      </c>
      <c r="N64" s="120">
        <f t="shared" si="56"/>
        <v>-49468.7233214556</v>
      </c>
      <c r="O64" s="120">
        <f t="shared" si="57"/>
        <v>-33977.8846850628</v>
      </c>
      <c r="P64" s="120">
        <f t="shared" si="58"/>
        <v>-19510.8119209002</v>
      </c>
      <c r="Q64" s="120">
        <f t="shared" si="59"/>
        <v>-5627.9135060722</v>
      </c>
      <c r="R64" s="120">
        <f t="shared" si="60"/>
        <v>7713.57369972221</v>
      </c>
      <c r="S64" s="120">
        <f t="shared" si="61"/>
        <v>20478.8229194066</v>
      </c>
    </row>
    <row r="65" ht="19.5" customHeight="1" spans="1:19">
      <c r="A65" s="81" t="s">
        <v>408</v>
      </c>
      <c r="B65" s="81"/>
      <c r="C65" s="81"/>
      <c r="D65" s="140">
        <f>IRR(E71:S71)</f>
        <v>0.0600446933845642</v>
      </c>
      <c r="E65" s="141"/>
      <c r="F65" s="141"/>
      <c r="G65" s="141"/>
      <c r="H65" s="141"/>
      <c r="I65" s="141"/>
      <c r="J65" s="141"/>
      <c r="K65" s="141"/>
      <c r="L65" s="141"/>
      <c r="M65" s="141"/>
      <c r="N65" s="141"/>
      <c r="O65" s="141"/>
      <c r="P65" s="141"/>
      <c r="Q65" s="141"/>
      <c r="R65" s="141"/>
      <c r="S65" s="141"/>
    </row>
    <row r="66" ht="18.75" customHeight="1" spans="1:4">
      <c r="A66" s="81" t="s">
        <v>409</v>
      </c>
      <c r="B66" s="81"/>
      <c r="C66" s="81"/>
      <c r="D66" s="120">
        <f>NPV(4.44%,E71:S71)</f>
        <v>9172.52193510537</v>
      </c>
    </row>
    <row r="67" ht="18.75" hidden="1" customHeight="1" spans="1:18">
      <c r="A67" s="142"/>
      <c r="B67" s="142"/>
      <c r="C67" s="142"/>
      <c r="D67" s="143"/>
      <c r="I67" s="151">
        <f t="shared" ref="I67:R67" si="64">J9</f>
        <v>1679.89496</v>
      </c>
      <c r="J67" s="151">
        <f t="shared" si="64"/>
        <v>1866.29496</v>
      </c>
      <c r="K67" s="151">
        <f t="shared" si="64"/>
        <v>2301.99328</v>
      </c>
      <c r="L67" s="151">
        <f t="shared" si="64"/>
        <v>2488.39328</v>
      </c>
      <c r="M67" s="151">
        <f t="shared" si="64"/>
        <v>2924.0916</v>
      </c>
      <c r="N67" s="151">
        <f t="shared" si="64"/>
        <v>3110.4916</v>
      </c>
      <c r="O67" s="151">
        <f t="shared" si="64"/>
        <v>3359.78992</v>
      </c>
      <c r="P67" s="151">
        <f t="shared" si="64"/>
        <v>3359.78992</v>
      </c>
      <c r="Q67" s="151">
        <f t="shared" si="64"/>
        <v>3609.08824</v>
      </c>
      <c r="R67" s="151">
        <f t="shared" si="64"/>
        <v>3609.08824</v>
      </c>
    </row>
    <row r="68" s="108" customFormat="1" ht="18.75" hidden="1" customHeight="1" spans="1:20">
      <c r="A68" s="144"/>
      <c r="B68" s="144"/>
      <c r="C68" s="144"/>
      <c r="D68" s="143"/>
      <c r="E68" s="145">
        <f>E13</f>
        <v>6379.99481858648</v>
      </c>
      <c r="F68" s="145">
        <f t="shared" ref="F68:I68" si="65">F13</f>
        <v>18293.4831329594</v>
      </c>
      <c r="G68" s="145">
        <f t="shared" si="65"/>
        <v>29360.4701245324</v>
      </c>
      <c r="H68" s="145">
        <f t="shared" si="65"/>
        <v>37887.9531477054</v>
      </c>
      <c r="I68" s="145">
        <f t="shared" si="65"/>
        <v>42837.5626383684</v>
      </c>
      <c r="T68" s="108">
        <v>0</v>
      </c>
    </row>
    <row r="69" s="108" customFormat="1" ht="18.75" hidden="1" customHeight="1" spans="1:19">
      <c r="A69" s="144"/>
      <c r="B69" s="144"/>
      <c r="C69" s="144"/>
      <c r="D69" s="143"/>
      <c r="E69" s="145"/>
      <c r="F69" s="145"/>
      <c r="G69" s="145"/>
      <c r="H69" s="145"/>
      <c r="I69" s="145">
        <f t="shared" ref="I69:R69" si="66">J13</f>
        <v>153706.255513327</v>
      </c>
      <c r="J69" s="145">
        <f t="shared" si="66"/>
        <v>154346.218591827</v>
      </c>
      <c r="K69" s="145">
        <f t="shared" si="66"/>
        <v>155440.617387635</v>
      </c>
      <c r="L69" s="145">
        <f t="shared" si="66"/>
        <v>155904.292320481</v>
      </c>
      <c r="M69" s="145">
        <f t="shared" si="66"/>
        <v>155858.335372082</v>
      </c>
      <c r="N69" s="145">
        <f t="shared" si="66"/>
        <v>156116.765032035</v>
      </c>
      <c r="O69" s="145">
        <f t="shared" si="66"/>
        <v>156426.068542485</v>
      </c>
      <c r="P69" s="145">
        <f t="shared" si="66"/>
        <v>156426.068542485</v>
      </c>
      <c r="Q69" s="145">
        <f t="shared" si="66"/>
        <v>156207.374827125</v>
      </c>
      <c r="R69" s="145">
        <f t="shared" si="66"/>
        <v>156424.360877686</v>
      </c>
      <c r="S69" s="145"/>
    </row>
    <row r="70" s="108" customFormat="1" ht="18.75" hidden="1" customHeight="1" spans="1:19">
      <c r="A70" s="144"/>
      <c r="B70" s="144"/>
      <c r="C70" s="144">
        <v>6.05</v>
      </c>
      <c r="E70" s="145">
        <f>E25</f>
        <v>71481.9827633465</v>
      </c>
      <c r="F70" s="145">
        <f t="shared" ref="F70:S70" si="67">F25</f>
        <v>74757.7024777194</v>
      </c>
      <c r="G70" s="145">
        <f t="shared" si="67"/>
        <v>85824.6894692924</v>
      </c>
      <c r="H70" s="145">
        <f t="shared" si="67"/>
        <v>68438.8666924654</v>
      </c>
      <c r="I70" s="145">
        <f t="shared" si="67"/>
        <v>73388.4761831284</v>
      </c>
      <c r="J70" s="145">
        <f t="shared" si="67"/>
        <v>125868.554878306</v>
      </c>
      <c r="K70" s="145">
        <f t="shared" si="67"/>
        <v>126694.917956806</v>
      </c>
      <c r="L70" s="145">
        <f t="shared" si="67"/>
        <v>128225.015072614</v>
      </c>
      <c r="M70" s="145">
        <f t="shared" si="67"/>
        <v>128875.09000546</v>
      </c>
      <c r="N70" s="145">
        <f t="shared" si="67"/>
        <v>129541.386533233</v>
      </c>
      <c r="O70" s="145">
        <f t="shared" si="67"/>
        <v>130521.911997712</v>
      </c>
      <c r="P70" s="145">
        <f t="shared" si="67"/>
        <v>133016.284973999</v>
      </c>
      <c r="Q70" s="145">
        <f t="shared" si="67"/>
        <v>134170.488259822</v>
      </c>
      <c r="R70" s="145">
        <f t="shared" si="67"/>
        <v>135205.010465571</v>
      </c>
      <c r="S70" s="145">
        <f t="shared" si="67"/>
        <v>136489.297700224</v>
      </c>
    </row>
    <row r="71" s="108" customFormat="1" ht="18.75" hidden="1" customHeight="1" spans="1:19">
      <c r="A71" s="144"/>
      <c r="B71" s="144"/>
      <c r="C71" s="144"/>
      <c r="E71" s="145">
        <f t="shared" ref="E71:H71" si="68">E67+E68+E69-E70</f>
        <v>-65101.98794476</v>
      </c>
      <c r="F71" s="145">
        <f t="shared" si="68"/>
        <v>-56464.21934476</v>
      </c>
      <c r="G71" s="145">
        <f t="shared" si="68"/>
        <v>-56464.21934476</v>
      </c>
      <c r="H71" s="145">
        <f t="shared" si="68"/>
        <v>-30550.91354476</v>
      </c>
      <c r="I71" s="145">
        <f t="shared" ref="I71" si="69">I67+I68+I69-I70</f>
        <v>124835.236928567</v>
      </c>
      <c r="J71" s="145">
        <f t="shared" ref="J71" si="70">J67+J68+J69-J70</f>
        <v>30343.9586735212</v>
      </c>
      <c r="K71" s="145">
        <f t="shared" ref="K71" si="71">K67+K68+K69-K70</f>
        <v>31047.6927108292</v>
      </c>
      <c r="L71" s="145">
        <f t="shared" ref="L71" si="72">L67+L68+L69-L70</f>
        <v>30167.670527867</v>
      </c>
      <c r="M71" s="145">
        <f t="shared" ref="M71" si="73">M67+M68+M69-M70</f>
        <v>29907.3369666223</v>
      </c>
      <c r="N71" s="145">
        <f t="shared" ref="N71" si="74">N67+N68+N69-N70</f>
        <v>29685.8700988025</v>
      </c>
      <c r="O71" s="145">
        <f t="shared" ref="O71" si="75">O67+O68+O69-O70</f>
        <v>29263.9464647727</v>
      </c>
      <c r="P71" s="145">
        <f t="shared" ref="P71" si="76">P67+P68+P69-P70</f>
        <v>26769.5734884858</v>
      </c>
      <c r="Q71" s="145">
        <f t="shared" ref="Q71" si="77">Q67+Q68+Q69-Q70</f>
        <v>25645.9748073031</v>
      </c>
      <c r="R71" s="145">
        <f t="shared" ref="R71" si="78">R67+R68+R69-R70</f>
        <v>24828.438652115</v>
      </c>
      <c r="S71" s="145">
        <f t="shared" ref="S71" si="79">S67+S68+S69-S70</f>
        <v>-136489.297700224</v>
      </c>
    </row>
    <row r="72" s="108" customFormat="1" ht="18.75" hidden="1" customHeight="1" spans="1:19">
      <c r="A72" s="144"/>
      <c r="B72" s="144"/>
      <c r="C72" s="144"/>
      <c r="D72" s="140"/>
      <c r="E72" s="145">
        <f t="shared" ref="E72:H72" si="80">E67+E68+E69-E74</f>
        <v>0</v>
      </c>
      <c r="F72" s="145">
        <f t="shared" si="80"/>
        <v>0</v>
      </c>
      <c r="G72" s="145">
        <f t="shared" si="80"/>
        <v>0</v>
      </c>
      <c r="H72" s="145">
        <f t="shared" si="80"/>
        <v>0</v>
      </c>
      <c r="I72" s="145" t="e">
        <f>#REF!+I68+I69-I74</f>
        <v>#REF!</v>
      </c>
      <c r="J72" s="145">
        <f t="shared" ref="J72:S72" si="81">I67+J68+J69-J74</f>
        <v>-54.8423738015699</v>
      </c>
      <c r="K72" s="145">
        <f t="shared" si="81"/>
        <v>-131.347229591949</v>
      </c>
      <c r="L72" s="145">
        <f t="shared" si="81"/>
        <v>-163.850976234273</v>
      </c>
      <c r="M72" s="145">
        <f t="shared" si="81"/>
        <v>-183.3380448143</v>
      </c>
      <c r="N72" s="145">
        <f t="shared" si="81"/>
        <v>-205.579527811962</v>
      </c>
      <c r="O72" s="145">
        <f t="shared" si="81"/>
        <v>-233.509619334451</v>
      </c>
      <c r="P72" s="145">
        <f t="shared" si="81"/>
        <v>-233.509619334451</v>
      </c>
      <c r="Q72" s="145">
        <f t="shared" si="81"/>
        <v>-235.03984956647</v>
      </c>
      <c r="R72" s="145">
        <f t="shared" si="81"/>
        <v>-245.889152094518</v>
      </c>
      <c r="S72" s="145">
        <f t="shared" si="81"/>
        <v>0</v>
      </c>
    </row>
    <row r="73" s="108" customFormat="1" ht="18.75" hidden="1" customHeight="1" spans="1:4">
      <c r="A73" s="144"/>
      <c r="B73" s="144"/>
      <c r="C73" s="144"/>
      <c r="D73" s="143"/>
    </row>
    <row r="74" ht="18.75" hidden="1" customHeight="1" spans="1:19">
      <c r="A74" s="142"/>
      <c r="B74" s="142"/>
      <c r="C74" s="142"/>
      <c r="D74" s="143"/>
      <c r="E74" s="109">
        <v>6379.99481858648</v>
      </c>
      <c r="F74" s="109">
        <v>18293.4831329594</v>
      </c>
      <c r="G74" s="109">
        <v>29360.4701245324</v>
      </c>
      <c r="H74" s="109">
        <v>37887.9531477054</v>
      </c>
      <c r="I74" s="109">
        <v>196557.342371572</v>
      </c>
      <c r="J74" s="109">
        <v>156080.955925629</v>
      </c>
      <c r="K74" s="109">
        <v>157438.259577227</v>
      </c>
      <c r="L74" s="109">
        <v>158370.136576715</v>
      </c>
      <c r="M74" s="109">
        <v>158530.066696897</v>
      </c>
      <c r="N74" s="109">
        <v>159246.436159847</v>
      </c>
      <c r="O74" s="109">
        <v>159770.06976182</v>
      </c>
      <c r="P74" s="109">
        <v>160019.36808182</v>
      </c>
      <c r="Q74" s="109">
        <v>159802.204596692</v>
      </c>
      <c r="R74" s="109">
        <v>160279.338269781</v>
      </c>
      <c r="S74" s="109">
        <v>3609.08824</v>
      </c>
    </row>
    <row r="75" ht="18.75" hidden="1" customHeight="1" spans="1:19">
      <c r="A75" s="142"/>
      <c r="B75" s="142"/>
      <c r="C75" s="142"/>
      <c r="D75" s="143"/>
      <c r="E75" s="109">
        <v>71481.9827633465</v>
      </c>
      <c r="F75" s="109">
        <v>74757.7024777194</v>
      </c>
      <c r="G75" s="109">
        <v>85824.6894692924</v>
      </c>
      <c r="H75" s="109">
        <v>68438.8666924654</v>
      </c>
      <c r="I75" s="109">
        <v>73388.4761831284</v>
      </c>
      <c r="J75" s="109">
        <v>125868.554878306</v>
      </c>
      <c r="K75" s="109">
        <v>126694.917956806</v>
      </c>
      <c r="L75" s="109">
        <v>128225.015072614</v>
      </c>
      <c r="M75" s="109">
        <v>128626.541247042</v>
      </c>
      <c r="N75" s="109">
        <v>129525.564078908</v>
      </c>
      <c r="O75" s="109">
        <v>130505.932174404</v>
      </c>
      <c r="P75" s="109">
        <v>132983.930090239</v>
      </c>
      <c r="Q75" s="109">
        <v>134136.235095252</v>
      </c>
      <c r="R75" s="109">
        <v>135170.369782883</v>
      </c>
      <c r="S75" s="109">
        <v>136454.120737688</v>
      </c>
    </row>
    <row r="76" ht="18.75" hidden="1" customHeight="1" spans="1:19">
      <c r="A76" s="142"/>
      <c r="B76" s="142"/>
      <c r="C76" s="142"/>
      <c r="D76" s="140">
        <f>IRR(E76:S76)</f>
        <v>0.0604712128665632</v>
      </c>
      <c r="E76" s="109">
        <f>E74-E75</f>
        <v>-65101.98794476</v>
      </c>
      <c r="F76" s="109">
        <f t="shared" ref="F76:S76" si="82">F74-F75</f>
        <v>-56464.21934476</v>
      </c>
      <c r="G76" s="109">
        <f t="shared" si="82"/>
        <v>-56464.21934476</v>
      </c>
      <c r="H76" s="109">
        <f t="shared" si="82"/>
        <v>-30550.91354476</v>
      </c>
      <c r="I76" s="109">
        <f t="shared" si="82"/>
        <v>123168.866188444</v>
      </c>
      <c r="J76" s="109">
        <f t="shared" si="82"/>
        <v>30212.4010473228</v>
      </c>
      <c r="K76" s="109">
        <f t="shared" si="82"/>
        <v>30743.3416204212</v>
      </c>
      <c r="L76" s="109">
        <f t="shared" si="82"/>
        <v>30145.1215041013</v>
      </c>
      <c r="M76" s="109">
        <f t="shared" si="82"/>
        <v>29903.525449855</v>
      </c>
      <c r="N76" s="109">
        <f t="shared" si="82"/>
        <v>29720.8720809391</v>
      </c>
      <c r="O76" s="109">
        <f t="shared" si="82"/>
        <v>29264.1375874153</v>
      </c>
      <c r="P76" s="109">
        <f t="shared" si="82"/>
        <v>27035.4379915805</v>
      </c>
      <c r="Q76" s="109">
        <f t="shared" si="82"/>
        <v>25665.9695014392</v>
      </c>
      <c r="R76" s="109">
        <f t="shared" si="82"/>
        <v>25108.9684868972</v>
      </c>
      <c r="S76" s="109">
        <f t="shared" si="82"/>
        <v>-132845.032497688</v>
      </c>
    </row>
    <row r="77" ht="18.75" customHeight="1" spans="1:4">
      <c r="A77" s="142"/>
      <c r="B77" s="142"/>
      <c r="C77" s="142"/>
      <c r="D77" s="143"/>
    </row>
    <row r="78" ht="18.75" customHeight="1" spans="1:4">
      <c r="A78" s="142"/>
      <c r="B78" s="142"/>
      <c r="C78" s="142"/>
      <c r="D78" s="143"/>
    </row>
    <row r="79" ht="18.75" customHeight="1" spans="1:4">
      <c r="A79" s="142"/>
      <c r="B79" s="142"/>
      <c r="C79" s="142"/>
      <c r="D79" s="143"/>
    </row>
    <row r="80" ht="18.75" customHeight="1" spans="1:4">
      <c r="A80" s="142"/>
      <c r="B80" s="142"/>
      <c r="C80" s="142"/>
      <c r="D80" s="143"/>
    </row>
    <row r="81" ht="18.75" customHeight="1" spans="1:4">
      <c r="A81" s="142"/>
      <c r="B81" s="142"/>
      <c r="C81" s="142"/>
      <c r="D81" s="143"/>
    </row>
    <row r="82" ht="60.75" hidden="1" customHeight="1" spans="5:9">
      <c r="E82" s="146">
        <f>IRR(E57:S57)</f>
        <v>0.0192443505708562</v>
      </c>
      <c r="F82" s="147"/>
      <c r="H82" s="148"/>
      <c r="I82" s="148"/>
    </row>
    <row r="83" hidden="1" spans="5:19">
      <c r="E83" s="149">
        <f>E5</f>
        <v>6379.99481858648</v>
      </c>
      <c r="F83" s="149">
        <f t="shared" ref="F83:I83" si="83">F5</f>
        <v>18293.4831329594</v>
      </c>
      <c r="G83" s="149">
        <f t="shared" si="83"/>
        <v>29360.4701245324</v>
      </c>
      <c r="H83" s="149">
        <f t="shared" si="83"/>
        <v>37887.9531477054</v>
      </c>
      <c r="I83" s="149">
        <f t="shared" si="83"/>
        <v>42837.5626383684</v>
      </c>
      <c r="J83" s="150"/>
      <c r="K83" s="150"/>
      <c r="L83" s="150"/>
      <c r="M83" s="150"/>
      <c r="N83" s="150"/>
      <c r="O83" s="150"/>
      <c r="P83" s="150"/>
      <c r="Q83" s="150"/>
      <c r="R83" s="150"/>
      <c r="S83" s="150"/>
    </row>
    <row r="84" hidden="1" spans="5:19">
      <c r="E84" s="150"/>
      <c r="F84" s="150"/>
      <c r="G84" s="150"/>
      <c r="H84" s="150"/>
      <c r="I84" s="149">
        <f t="shared" ref="I84:R84" si="84">J5</f>
        <v>155386.150473327</v>
      </c>
      <c r="J84" s="149">
        <f t="shared" si="84"/>
        <v>156212.513551827</v>
      </c>
      <c r="K84" s="149">
        <f t="shared" si="84"/>
        <v>157742.610667635</v>
      </c>
      <c r="L84" s="149">
        <f t="shared" si="84"/>
        <v>158392.685600481</v>
      </c>
      <c r="M84" s="149">
        <f t="shared" si="84"/>
        <v>158782.426972082</v>
      </c>
      <c r="N84" s="149">
        <f t="shared" si="84"/>
        <v>159227.256632035</v>
      </c>
      <c r="O84" s="149">
        <f t="shared" si="84"/>
        <v>159785.858462485</v>
      </c>
      <c r="P84" s="149">
        <f t="shared" si="84"/>
        <v>159785.858462485</v>
      </c>
      <c r="Q84" s="149">
        <f t="shared" si="84"/>
        <v>159816.463067125</v>
      </c>
      <c r="R84" s="149">
        <f t="shared" si="84"/>
        <v>160033.449117686</v>
      </c>
      <c r="S84" s="150">
        <v>0</v>
      </c>
    </row>
    <row r="85" hidden="1" spans="5:19">
      <c r="E85" s="149">
        <f>E25</f>
        <v>71481.9827633465</v>
      </c>
      <c r="F85" s="149">
        <f t="shared" ref="F85:S85" si="85">F25</f>
        <v>74757.7024777194</v>
      </c>
      <c r="G85" s="149">
        <f t="shared" si="85"/>
        <v>85824.6894692924</v>
      </c>
      <c r="H85" s="149">
        <f t="shared" si="85"/>
        <v>68438.8666924654</v>
      </c>
      <c r="I85" s="149">
        <f t="shared" si="85"/>
        <v>73388.4761831284</v>
      </c>
      <c r="J85" s="149">
        <f t="shared" si="85"/>
        <v>125868.554878306</v>
      </c>
      <c r="K85" s="149">
        <f t="shared" si="85"/>
        <v>126694.917956806</v>
      </c>
      <c r="L85" s="149">
        <f t="shared" si="85"/>
        <v>128225.015072614</v>
      </c>
      <c r="M85" s="149">
        <f t="shared" si="85"/>
        <v>128875.09000546</v>
      </c>
      <c r="N85" s="149">
        <f t="shared" si="85"/>
        <v>129541.386533233</v>
      </c>
      <c r="O85" s="149">
        <f t="shared" si="85"/>
        <v>130521.911997712</v>
      </c>
      <c r="P85" s="149">
        <f t="shared" si="85"/>
        <v>133016.284973999</v>
      </c>
      <c r="Q85" s="149">
        <f t="shared" si="85"/>
        <v>134170.488259822</v>
      </c>
      <c r="R85" s="149">
        <f t="shared" si="85"/>
        <v>135205.010465571</v>
      </c>
      <c r="S85" s="149">
        <f t="shared" si="85"/>
        <v>136489.297700224</v>
      </c>
    </row>
    <row r="86" hidden="1" spans="4:19">
      <c r="D86" s="146">
        <f>IRR(E86:S86)</f>
        <v>0.0600446933845642</v>
      </c>
      <c r="E86" s="149">
        <f>E83+E84-E85</f>
        <v>-65101.98794476</v>
      </c>
      <c r="F86" s="149">
        <f t="shared" ref="F86:S86" si="86">F83+F84-F85</f>
        <v>-56464.21934476</v>
      </c>
      <c r="G86" s="149">
        <f t="shared" si="86"/>
        <v>-56464.21934476</v>
      </c>
      <c r="H86" s="149">
        <f t="shared" si="86"/>
        <v>-30550.91354476</v>
      </c>
      <c r="I86" s="149">
        <f t="shared" si="86"/>
        <v>124835.236928567</v>
      </c>
      <c r="J86" s="149">
        <f t="shared" si="86"/>
        <v>30343.9586735212</v>
      </c>
      <c r="K86" s="149">
        <f t="shared" si="86"/>
        <v>31047.6927108292</v>
      </c>
      <c r="L86" s="149">
        <f t="shared" si="86"/>
        <v>30167.670527867</v>
      </c>
      <c r="M86" s="149">
        <f t="shared" si="86"/>
        <v>29907.3369666223</v>
      </c>
      <c r="N86" s="149">
        <f t="shared" si="86"/>
        <v>29685.8700988025</v>
      </c>
      <c r="O86" s="149">
        <f t="shared" si="86"/>
        <v>29263.9464647727</v>
      </c>
      <c r="P86" s="149">
        <f t="shared" si="86"/>
        <v>26769.5734884858</v>
      </c>
      <c r="Q86" s="149">
        <f t="shared" si="86"/>
        <v>25645.9748073031</v>
      </c>
      <c r="R86" s="149">
        <f t="shared" si="86"/>
        <v>24828.438652115</v>
      </c>
      <c r="S86" s="149">
        <f t="shared" si="86"/>
        <v>-136489.297700224</v>
      </c>
    </row>
    <row r="87" hidden="1"/>
    <row r="88" hidden="1"/>
    <row r="89" hidden="1"/>
    <row r="90" hidden="1"/>
  </sheetData>
  <mergeCells count="39">
    <mergeCell ref="A1:S1"/>
    <mergeCell ref="E2:I2"/>
    <mergeCell ref="J2:S2"/>
    <mergeCell ref="A65:B65"/>
    <mergeCell ref="A66:B66"/>
    <mergeCell ref="A2:A4"/>
    <mergeCell ref="A5:A8"/>
    <mergeCell ref="A9:A12"/>
    <mergeCell ref="A13:A16"/>
    <mergeCell ref="A17:A20"/>
    <mergeCell ref="A21:A24"/>
    <mergeCell ref="A25:A28"/>
    <mergeCell ref="A29:A32"/>
    <mergeCell ref="A33:A36"/>
    <mergeCell ref="A37:A40"/>
    <mergeCell ref="A41:A44"/>
    <mergeCell ref="A45:A48"/>
    <mergeCell ref="A49:A52"/>
    <mergeCell ref="A53:A56"/>
    <mergeCell ref="A57:A60"/>
    <mergeCell ref="A61:A64"/>
    <mergeCell ref="B2:B4"/>
    <mergeCell ref="B5:B8"/>
    <mergeCell ref="B9:B12"/>
    <mergeCell ref="B13:B16"/>
    <mergeCell ref="B17:B20"/>
    <mergeCell ref="B21:B24"/>
    <mergeCell ref="B25:B28"/>
    <mergeCell ref="B29:B32"/>
    <mergeCell ref="B33:B36"/>
    <mergeCell ref="B37:B40"/>
    <mergeCell ref="B41:B44"/>
    <mergeCell ref="B45:B48"/>
    <mergeCell ref="B49:B52"/>
    <mergeCell ref="B53:B56"/>
    <mergeCell ref="B57:B60"/>
    <mergeCell ref="B61:B64"/>
    <mergeCell ref="C2:C4"/>
    <mergeCell ref="D2:D4"/>
  </mergeCells>
  <pageMargins left="0.707638888888889" right="0.707638888888889" top="0.747916666666667" bottom="0.747916666666667" header="0.313888888888889" footer="0.313888888888889"/>
  <pageSetup paperSize="9"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70C0"/>
    <pageSetUpPr fitToPage="1"/>
  </sheetPr>
  <dimension ref="A1:J122"/>
  <sheetViews>
    <sheetView workbookViewId="0">
      <selection activeCell="K5" sqref="K5"/>
    </sheetView>
  </sheetViews>
  <sheetFormatPr defaultColWidth="9" defaultRowHeight="18.75"/>
  <cols>
    <col min="1" max="1" width="6" style="2" customWidth="1"/>
    <col min="2" max="2" width="9" style="2"/>
    <col min="3" max="3" width="19.375" style="2" customWidth="1"/>
    <col min="4" max="6" width="9" style="2"/>
    <col min="7" max="7" width="11.25" style="2" customWidth="1"/>
    <col min="8" max="8" width="14.125" style="2" customWidth="1"/>
    <col min="9" max="9" width="9" style="2"/>
    <col min="10" max="10" width="12" style="2" customWidth="1"/>
    <col min="11" max="11" width="15.25" style="2" customWidth="1"/>
    <col min="12" max="16384" width="9" style="2"/>
  </cols>
  <sheetData>
    <row r="1" ht="20.25" customHeight="1" spans="1:8">
      <c r="A1" s="60" t="s">
        <v>410</v>
      </c>
      <c r="B1" s="60"/>
      <c r="C1" s="60"/>
      <c r="D1" s="60"/>
      <c r="E1" s="60"/>
      <c r="F1" s="60"/>
      <c r="G1" s="60"/>
      <c r="H1" s="60"/>
    </row>
    <row r="2" s="1" customFormat="1" customHeight="1" spans="1:8">
      <c r="A2" s="74" t="s">
        <v>1</v>
      </c>
      <c r="B2" s="75" t="s">
        <v>69</v>
      </c>
      <c r="C2" s="76"/>
      <c r="D2" s="77" t="s">
        <v>411</v>
      </c>
      <c r="E2" s="74" t="s">
        <v>412</v>
      </c>
      <c r="F2" s="74"/>
      <c r="G2" s="74"/>
      <c r="H2" s="74" t="s">
        <v>74</v>
      </c>
    </row>
    <row r="3" s="1" customFormat="1" spans="1:8">
      <c r="A3" s="74"/>
      <c r="B3" s="78"/>
      <c r="C3" s="79"/>
      <c r="D3" s="80"/>
      <c r="E3" s="81" t="s">
        <v>413</v>
      </c>
      <c r="F3" s="82" t="s">
        <v>414</v>
      </c>
      <c r="G3" s="83" t="s">
        <v>415</v>
      </c>
      <c r="H3" s="74"/>
    </row>
    <row r="4" s="1" customFormat="1" ht="24" customHeight="1" spans="1:8">
      <c r="A4" s="84" t="s">
        <v>81</v>
      </c>
      <c r="B4" s="85" t="s">
        <v>82</v>
      </c>
      <c r="C4" s="86"/>
      <c r="D4" s="84"/>
      <c r="E4" s="87"/>
      <c r="F4" s="88"/>
      <c r="G4" s="89">
        <f>SUM(G5,G18,G22,G26,G34,G40,G48)</f>
        <v>145362.345065251</v>
      </c>
      <c r="H4" s="90"/>
    </row>
    <row r="5" ht="24" customHeight="1" spans="1:8">
      <c r="A5" s="84">
        <v>1</v>
      </c>
      <c r="B5" s="85" t="s">
        <v>416</v>
      </c>
      <c r="C5" s="86"/>
      <c r="D5" s="84"/>
      <c r="E5" s="88"/>
      <c r="F5" s="88"/>
      <c r="G5" s="89">
        <f>SUM(G6:G17)</f>
        <v>64745.8434549125</v>
      </c>
      <c r="H5" s="90"/>
    </row>
    <row r="6" ht="24" customHeight="1" spans="1:10">
      <c r="A6" s="74"/>
      <c r="B6" s="91" t="s">
        <v>417</v>
      </c>
      <c r="C6" s="92"/>
      <c r="D6" s="74" t="s">
        <v>210</v>
      </c>
      <c r="E6" s="93">
        <v>1450163.719775</v>
      </c>
      <c r="F6" s="93">
        <v>86</v>
      </c>
      <c r="G6" s="94">
        <f>E6*F6/10000</f>
        <v>12471.407990065</v>
      </c>
      <c r="H6" s="95"/>
      <c r="J6" s="105" t="s">
        <v>418</v>
      </c>
    </row>
    <row r="7" ht="24" customHeight="1" spans="1:10">
      <c r="A7" s="74"/>
      <c r="B7" s="91" t="s">
        <v>419</v>
      </c>
      <c r="C7" s="92"/>
      <c r="D7" s="74" t="s">
        <v>210</v>
      </c>
      <c r="E7" s="93">
        <v>499522.2048</v>
      </c>
      <c r="F7" s="93">
        <v>74</v>
      </c>
      <c r="G7" s="94">
        <f t="shared" ref="G7:G17" si="0">E7*F7/10000</f>
        <v>3696.46431552</v>
      </c>
      <c r="H7" s="95"/>
      <c r="J7" s="106">
        <f>E6+E19+E55</f>
        <v>1616601.186575</v>
      </c>
    </row>
    <row r="8" ht="24" customHeight="1" spans="1:10">
      <c r="A8" s="74"/>
      <c r="B8" s="91" t="s">
        <v>420</v>
      </c>
      <c r="C8" s="92"/>
      <c r="D8" s="74" t="s">
        <v>210</v>
      </c>
      <c r="E8" s="93">
        <v>687510.801775</v>
      </c>
      <c r="F8" s="93">
        <v>89</v>
      </c>
      <c r="G8" s="94">
        <f t="shared" si="0"/>
        <v>6118.8461357975</v>
      </c>
      <c r="H8" s="95"/>
      <c r="J8" s="105" t="s">
        <v>421</v>
      </c>
    </row>
    <row r="9" ht="24" customHeight="1" spans="1:10">
      <c r="A9" s="74"/>
      <c r="B9" s="91" t="s">
        <v>422</v>
      </c>
      <c r="C9" s="92"/>
      <c r="D9" s="74" t="s">
        <v>210</v>
      </c>
      <c r="E9" s="93">
        <v>745352.1112</v>
      </c>
      <c r="F9" s="93">
        <v>103</v>
      </c>
      <c r="G9" s="94">
        <f t="shared" si="0"/>
        <v>7677.12674536</v>
      </c>
      <c r="H9" s="95"/>
      <c r="J9" s="2">
        <f>建安工程费用明细表!E59</f>
        <v>881996</v>
      </c>
    </row>
    <row r="10" ht="24" customHeight="1" spans="1:8">
      <c r="A10" s="74"/>
      <c r="B10" s="91" t="s">
        <v>423</v>
      </c>
      <c r="C10" s="92"/>
      <c r="D10" s="74" t="s">
        <v>210</v>
      </c>
      <c r="E10" s="93">
        <v>544302.337775</v>
      </c>
      <c r="F10" s="93">
        <v>118</v>
      </c>
      <c r="G10" s="94">
        <f t="shared" si="0"/>
        <v>6422.767585745</v>
      </c>
      <c r="H10" s="95"/>
    </row>
    <row r="11" ht="24" customHeight="1" spans="1:8">
      <c r="A11" s="74"/>
      <c r="B11" s="91" t="s">
        <v>424</v>
      </c>
      <c r="C11" s="92"/>
      <c r="D11" s="74" t="s">
        <v>210</v>
      </c>
      <c r="E11" s="93">
        <v>2476687.45555</v>
      </c>
      <c r="F11" s="93">
        <v>8</v>
      </c>
      <c r="G11" s="94">
        <f t="shared" si="0"/>
        <v>1981.34996444</v>
      </c>
      <c r="H11" s="95"/>
    </row>
    <row r="12" s="1" customFormat="1" ht="24" customHeight="1" spans="1:8">
      <c r="A12" s="74"/>
      <c r="B12" s="91" t="s">
        <v>425</v>
      </c>
      <c r="C12" s="92"/>
      <c r="D12" s="74" t="s">
        <v>210</v>
      </c>
      <c r="E12" s="93">
        <v>1307251.928975</v>
      </c>
      <c r="F12" s="93">
        <v>10</v>
      </c>
      <c r="G12" s="94">
        <f t="shared" si="0"/>
        <v>1307.251928975</v>
      </c>
      <c r="H12" s="95"/>
    </row>
    <row r="13" ht="24" customHeight="1" spans="1:8">
      <c r="A13" s="74"/>
      <c r="B13" s="91" t="s">
        <v>426</v>
      </c>
      <c r="C13" s="92"/>
      <c r="D13" s="74" t="s">
        <v>210</v>
      </c>
      <c r="E13" s="93">
        <v>1307251.928975</v>
      </c>
      <c r="F13" s="93">
        <v>8</v>
      </c>
      <c r="G13" s="94">
        <f t="shared" si="0"/>
        <v>1045.80154318</v>
      </c>
      <c r="H13" s="95"/>
    </row>
    <row r="14" ht="24" customHeight="1" spans="1:8">
      <c r="A14" s="74"/>
      <c r="B14" s="91" t="s">
        <v>427</v>
      </c>
      <c r="C14" s="92"/>
      <c r="D14" s="74" t="s">
        <v>210</v>
      </c>
      <c r="E14" s="93">
        <v>98482.875</v>
      </c>
      <c r="F14" s="93">
        <v>25</v>
      </c>
      <c r="G14" s="94">
        <f t="shared" si="0"/>
        <v>246.2071875</v>
      </c>
      <c r="H14" s="95"/>
    </row>
    <row r="15" ht="24" customHeight="1" spans="1:8">
      <c r="A15" s="74"/>
      <c r="B15" s="91" t="s">
        <v>428</v>
      </c>
      <c r="C15" s="92"/>
      <c r="D15" s="74" t="s">
        <v>210</v>
      </c>
      <c r="E15" s="93">
        <v>1323089.660975</v>
      </c>
      <c r="F15" s="93">
        <v>60</v>
      </c>
      <c r="G15" s="94">
        <f t="shared" si="0"/>
        <v>7938.53796585</v>
      </c>
      <c r="H15" s="95"/>
    </row>
    <row r="16" ht="24" customHeight="1" spans="1:8">
      <c r="A16" s="74"/>
      <c r="B16" s="91" t="s">
        <v>429</v>
      </c>
      <c r="C16" s="92"/>
      <c r="D16" s="74" t="s">
        <v>210</v>
      </c>
      <c r="E16" s="93">
        <v>1374122.352975</v>
      </c>
      <c r="F16" s="93">
        <v>67</v>
      </c>
      <c r="G16" s="94">
        <f t="shared" si="0"/>
        <v>9206.6197649325</v>
      </c>
      <c r="H16" s="95"/>
    </row>
    <row r="17" ht="24" customHeight="1" spans="1:8">
      <c r="A17" s="74"/>
      <c r="B17" s="91" t="s">
        <v>430</v>
      </c>
      <c r="C17" s="92"/>
      <c r="D17" s="74" t="s">
        <v>210</v>
      </c>
      <c r="E17" s="93">
        <v>1474102.739455</v>
      </c>
      <c r="F17" s="93">
        <v>45</v>
      </c>
      <c r="G17" s="94">
        <f t="shared" si="0"/>
        <v>6633.4623275475</v>
      </c>
      <c r="H17" s="95"/>
    </row>
    <row r="18" ht="24" customHeight="1" spans="1:8">
      <c r="A18" s="84">
        <v>2</v>
      </c>
      <c r="B18" s="85" t="s">
        <v>431</v>
      </c>
      <c r="C18" s="86"/>
      <c r="D18" s="84"/>
      <c r="E18" s="88"/>
      <c r="F18" s="88"/>
      <c r="G18" s="89">
        <f>SUM(G19:G21)</f>
        <v>2869.8692759</v>
      </c>
      <c r="H18" s="90"/>
    </row>
    <row r="19" ht="24" customHeight="1" spans="1:8">
      <c r="A19" s="74"/>
      <c r="B19" s="91" t="s">
        <v>432</v>
      </c>
      <c r="C19" s="92"/>
      <c r="D19" s="74" t="s">
        <v>210</v>
      </c>
      <c r="E19" s="93">
        <v>156537.4668</v>
      </c>
      <c r="F19" s="93">
        <v>105</v>
      </c>
      <c r="G19" s="94">
        <f t="shared" ref="G19:G47" si="1">E19*F19/10000</f>
        <v>1643.6434014</v>
      </c>
      <c r="H19" s="95"/>
    </row>
    <row r="20" ht="24" customHeight="1" spans="1:8">
      <c r="A20" s="74"/>
      <c r="B20" s="91" t="s">
        <v>433</v>
      </c>
      <c r="C20" s="92"/>
      <c r="D20" s="74" t="s">
        <v>210</v>
      </c>
      <c r="E20" s="93">
        <v>156537.4668</v>
      </c>
      <c r="F20" s="93">
        <v>25</v>
      </c>
      <c r="G20" s="94">
        <f t="shared" si="1"/>
        <v>391.343667</v>
      </c>
      <c r="H20" s="95"/>
    </row>
    <row r="21" ht="24" customHeight="1" spans="1:8">
      <c r="A21" s="74"/>
      <c r="B21" s="91" t="s">
        <v>434</v>
      </c>
      <c r="C21" s="92"/>
      <c r="D21" s="74" t="s">
        <v>210</v>
      </c>
      <c r="E21" s="93">
        <v>166976.4415</v>
      </c>
      <c r="F21" s="93">
        <v>50</v>
      </c>
      <c r="G21" s="94">
        <f t="shared" si="1"/>
        <v>834.8822075</v>
      </c>
      <c r="H21" s="95"/>
    </row>
    <row r="22" ht="24" customHeight="1" spans="1:8">
      <c r="A22" s="84">
        <v>3</v>
      </c>
      <c r="B22" s="85" t="s">
        <v>435</v>
      </c>
      <c r="C22" s="86"/>
      <c r="D22" s="84"/>
      <c r="E22" s="88"/>
      <c r="F22" s="88"/>
      <c r="G22" s="89">
        <f>SUM(G23:G25)</f>
        <v>5651.3820192</v>
      </c>
      <c r="H22" s="90"/>
    </row>
    <row r="23" ht="24" customHeight="1" spans="1:8">
      <c r="A23" s="74"/>
      <c r="B23" s="91" t="s">
        <v>436</v>
      </c>
      <c r="C23" s="92"/>
      <c r="D23" s="74" t="s">
        <v>230</v>
      </c>
      <c r="E23" s="93">
        <v>153585.0816</v>
      </c>
      <c r="F23" s="93">
        <v>200</v>
      </c>
      <c r="G23" s="94">
        <f t="shared" si="1"/>
        <v>3071.701632</v>
      </c>
      <c r="H23" s="95"/>
    </row>
    <row r="24" ht="24" customHeight="1" spans="1:8">
      <c r="A24" s="74"/>
      <c r="B24" s="91" t="s">
        <v>437</v>
      </c>
      <c r="C24" s="92"/>
      <c r="D24" s="74" t="s">
        <v>230</v>
      </c>
      <c r="E24" s="93">
        <v>153585.0816</v>
      </c>
      <c r="F24" s="93">
        <v>140</v>
      </c>
      <c r="G24" s="94">
        <f t="shared" si="1"/>
        <v>2150.1911424</v>
      </c>
      <c r="H24" s="95"/>
    </row>
    <row r="25" ht="24" customHeight="1" spans="1:8">
      <c r="A25" s="74"/>
      <c r="B25" s="91" t="s">
        <v>438</v>
      </c>
      <c r="C25" s="92"/>
      <c r="D25" s="74" t="s">
        <v>230</v>
      </c>
      <c r="E25" s="93">
        <v>35790.7704</v>
      </c>
      <c r="F25" s="93">
        <v>120</v>
      </c>
      <c r="G25" s="94">
        <f t="shared" si="1"/>
        <v>429.4892448</v>
      </c>
      <c r="H25" s="95"/>
    </row>
    <row r="26" ht="24" customHeight="1" spans="1:8">
      <c r="A26" s="84">
        <v>4</v>
      </c>
      <c r="B26" s="85" t="s">
        <v>439</v>
      </c>
      <c r="C26" s="86"/>
      <c r="D26" s="84"/>
      <c r="E26" s="88"/>
      <c r="F26" s="88"/>
      <c r="G26" s="89">
        <f>SUM(G27:G33)</f>
        <v>3732.41148673855</v>
      </c>
      <c r="H26" s="90"/>
    </row>
    <row r="27" ht="24" customHeight="1" spans="1:8">
      <c r="A27" s="74"/>
      <c r="B27" s="96" t="s">
        <v>440</v>
      </c>
      <c r="C27" s="97"/>
      <c r="D27" s="74" t="s">
        <v>210</v>
      </c>
      <c r="E27" s="93">
        <f>311554.2653604*0.9</f>
        <v>280398.83882436</v>
      </c>
      <c r="F27" s="93">
        <v>42</v>
      </c>
      <c r="G27" s="94">
        <f t="shared" si="1"/>
        <v>1177.67512306231</v>
      </c>
      <c r="H27" s="95"/>
    </row>
    <row r="28" s="1" customFormat="1" ht="24" customHeight="1" spans="1:8">
      <c r="A28" s="74"/>
      <c r="B28" s="96" t="s">
        <v>441</v>
      </c>
      <c r="C28" s="97"/>
      <c r="D28" s="74" t="s">
        <v>210</v>
      </c>
      <c r="E28" s="93">
        <f>97676.7084967*0.9</f>
        <v>87909.03764703</v>
      </c>
      <c r="F28" s="93">
        <v>80</v>
      </c>
      <c r="G28" s="94">
        <f t="shared" si="1"/>
        <v>703.27230117624</v>
      </c>
      <c r="H28" s="95"/>
    </row>
    <row r="29" ht="24" customHeight="1" spans="1:8">
      <c r="A29" s="74"/>
      <c r="B29" s="96" t="s">
        <v>442</v>
      </c>
      <c r="C29" s="97"/>
      <c r="D29" s="74" t="s">
        <v>443</v>
      </c>
      <c r="E29" s="93">
        <v>3097.24965</v>
      </c>
      <c r="F29" s="93">
        <v>1500</v>
      </c>
      <c r="G29" s="94">
        <f t="shared" si="1"/>
        <v>464.5874475</v>
      </c>
      <c r="H29" s="95"/>
    </row>
    <row r="30" ht="24" customHeight="1" spans="1:8">
      <c r="A30" s="74"/>
      <c r="B30" s="75" t="s">
        <v>444</v>
      </c>
      <c r="C30" s="76"/>
      <c r="D30" s="74" t="s">
        <v>443</v>
      </c>
      <c r="E30" s="93">
        <v>21136.311</v>
      </c>
      <c r="F30" s="93">
        <v>650</v>
      </c>
      <c r="G30" s="94">
        <f t="shared" si="1"/>
        <v>1373.860215</v>
      </c>
      <c r="H30" s="95"/>
    </row>
    <row r="31" ht="24" customHeight="1" spans="1:8">
      <c r="A31" s="74"/>
      <c r="B31" s="98" t="s">
        <v>445</v>
      </c>
      <c r="C31" s="95" t="s">
        <v>446</v>
      </c>
      <c r="D31" s="74" t="s">
        <v>447</v>
      </c>
      <c r="E31" s="99">
        <v>1.934</v>
      </c>
      <c r="F31" s="93">
        <v>12000</v>
      </c>
      <c r="G31" s="94">
        <f t="shared" si="1"/>
        <v>2.3208</v>
      </c>
      <c r="H31" s="95"/>
    </row>
    <row r="32" ht="24" customHeight="1" spans="1:8">
      <c r="A32" s="74"/>
      <c r="B32" s="100"/>
      <c r="C32" s="95" t="s">
        <v>448</v>
      </c>
      <c r="D32" s="74" t="s">
        <v>447</v>
      </c>
      <c r="E32" s="99">
        <v>0.853</v>
      </c>
      <c r="F32" s="93">
        <v>12000</v>
      </c>
      <c r="G32" s="94">
        <f t="shared" si="1"/>
        <v>1.0236</v>
      </c>
      <c r="H32" s="95"/>
    </row>
    <row r="33" ht="24" customHeight="1" spans="1:8">
      <c r="A33" s="74"/>
      <c r="B33" s="101"/>
      <c r="C33" s="95" t="s">
        <v>449</v>
      </c>
      <c r="D33" s="74" t="s">
        <v>210</v>
      </c>
      <c r="E33" s="93">
        <v>967.2</v>
      </c>
      <c r="F33" s="93">
        <v>100</v>
      </c>
      <c r="G33" s="94">
        <f t="shared" si="1"/>
        <v>9.672</v>
      </c>
      <c r="H33" s="95"/>
    </row>
    <row r="34" s="1" customFormat="1" ht="24" customHeight="1" spans="1:8">
      <c r="A34" s="84">
        <v>5</v>
      </c>
      <c r="B34" s="85" t="s">
        <v>450</v>
      </c>
      <c r="C34" s="86"/>
      <c r="D34" s="84"/>
      <c r="E34" s="88"/>
      <c r="F34" s="88"/>
      <c r="G34" s="89">
        <f>SUM(G35:G39)</f>
        <v>18558.9498564</v>
      </c>
      <c r="H34" s="90"/>
    </row>
    <row r="35" ht="24" customHeight="1" spans="1:8">
      <c r="A35" s="74"/>
      <c r="B35" s="96" t="s">
        <v>451</v>
      </c>
      <c r="C35" s="97"/>
      <c r="D35" s="74" t="s">
        <v>443</v>
      </c>
      <c r="E35" s="93">
        <v>212791.9068</v>
      </c>
      <c r="F35" s="93">
        <v>230</v>
      </c>
      <c r="G35" s="94">
        <f t="shared" si="1"/>
        <v>4894.2138564</v>
      </c>
      <c r="H35" s="95"/>
    </row>
    <row r="36" ht="24" customHeight="1" spans="1:8">
      <c r="A36" s="74"/>
      <c r="B36" s="96" t="s">
        <v>452</v>
      </c>
      <c r="C36" s="97"/>
      <c r="D36" s="74" t="s">
        <v>230</v>
      </c>
      <c r="E36" s="93">
        <v>1538460</v>
      </c>
      <c r="F36" s="93">
        <v>80</v>
      </c>
      <c r="G36" s="94">
        <f t="shared" si="1"/>
        <v>12307.68</v>
      </c>
      <c r="H36" s="95"/>
    </row>
    <row r="37" ht="24" customHeight="1" spans="1:8">
      <c r="A37" s="74"/>
      <c r="B37" s="74" t="s">
        <v>453</v>
      </c>
      <c r="C37" s="102" t="s">
        <v>453</v>
      </c>
      <c r="D37" s="74" t="s">
        <v>210</v>
      </c>
      <c r="E37" s="93">
        <v>119040</v>
      </c>
      <c r="F37" s="93">
        <v>50</v>
      </c>
      <c r="G37" s="94">
        <f t="shared" si="1"/>
        <v>595.2</v>
      </c>
      <c r="H37" s="95"/>
    </row>
    <row r="38" s="1" customFormat="1" ht="24" customHeight="1" spans="1:8">
      <c r="A38" s="74"/>
      <c r="B38" s="74"/>
      <c r="C38" s="95" t="s">
        <v>454</v>
      </c>
      <c r="D38" s="74" t="s">
        <v>443</v>
      </c>
      <c r="E38" s="93">
        <v>119040</v>
      </c>
      <c r="F38" s="93">
        <f>F52</f>
        <v>36</v>
      </c>
      <c r="G38" s="94">
        <f t="shared" si="1"/>
        <v>428.544</v>
      </c>
      <c r="H38" s="95"/>
    </row>
    <row r="39" ht="24" customHeight="1" spans="1:8">
      <c r="A39" s="74"/>
      <c r="B39" s="74"/>
      <c r="C39" s="95" t="s">
        <v>455</v>
      </c>
      <c r="D39" s="74" t="s">
        <v>443</v>
      </c>
      <c r="E39" s="93">
        <v>111104</v>
      </c>
      <c r="F39" s="93">
        <v>30</v>
      </c>
      <c r="G39" s="94">
        <f t="shared" si="1"/>
        <v>333.312</v>
      </c>
      <c r="H39" s="95"/>
    </row>
    <row r="40" s="1" customFormat="1" ht="24" customHeight="1" spans="1:8">
      <c r="A40" s="84">
        <v>6</v>
      </c>
      <c r="B40" s="85" t="s">
        <v>456</v>
      </c>
      <c r="C40" s="86"/>
      <c r="D40" s="84"/>
      <c r="E40" s="88"/>
      <c r="F40" s="88"/>
      <c r="G40" s="89">
        <f>SUM(G41:G47)</f>
        <v>5983.5809814</v>
      </c>
      <c r="H40" s="90"/>
    </row>
    <row r="41" customHeight="1" spans="1:8">
      <c r="A41" s="74"/>
      <c r="B41" s="101" t="s">
        <v>457</v>
      </c>
      <c r="C41" s="95" t="s">
        <v>458</v>
      </c>
      <c r="D41" s="74" t="s">
        <v>443</v>
      </c>
      <c r="E41" s="93">
        <v>27642.406176</v>
      </c>
      <c r="F41" s="93">
        <v>1500</v>
      </c>
      <c r="G41" s="94">
        <f t="shared" si="1"/>
        <v>4146.3609264</v>
      </c>
      <c r="H41" s="95"/>
    </row>
    <row r="42" ht="14.25" spans="1:8">
      <c r="A42" s="74"/>
      <c r="B42" s="98" t="s">
        <v>459</v>
      </c>
      <c r="C42" s="95" t="s">
        <v>460</v>
      </c>
      <c r="D42" s="74" t="s">
        <v>443</v>
      </c>
      <c r="E42" s="93">
        <v>68015.948</v>
      </c>
      <c r="F42" s="93">
        <v>220</v>
      </c>
      <c r="G42" s="94">
        <f t="shared" si="1"/>
        <v>1496.350856</v>
      </c>
      <c r="H42" s="95"/>
    </row>
    <row r="43" ht="14.25" spans="1:8">
      <c r="A43" s="74"/>
      <c r="B43" s="100"/>
      <c r="C43" s="95" t="s">
        <v>461</v>
      </c>
      <c r="D43" s="74" t="s">
        <v>443</v>
      </c>
      <c r="E43" s="93">
        <v>10202.3922</v>
      </c>
      <c r="F43" s="93">
        <v>200</v>
      </c>
      <c r="G43" s="94">
        <f t="shared" si="1"/>
        <v>204.047844</v>
      </c>
      <c r="H43" s="95"/>
    </row>
    <row r="44" customHeight="1" spans="1:8">
      <c r="A44" s="74"/>
      <c r="B44" s="101"/>
      <c r="C44" s="95" t="s">
        <v>462</v>
      </c>
      <c r="D44" s="74" t="s">
        <v>230</v>
      </c>
      <c r="E44" s="93">
        <v>4000</v>
      </c>
      <c r="F44" s="93">
        <v>150</v>
      </c>
      <c r="G44" s="94">
        <f t="shared" si="1"/>
        <v>60</v>
      </c>
      <c r="H44" s="95"/>
    </row>
    <row r="45" ht="14.25" spans="1:8">
      <c r="A45" s="74"/>
      <c r="B45" s="98" t="s">
        <v>463</v>
      </c>
      <c r="C45" s="95" t="s">
        <v>464</v>
      </c>
      <c r="D45" s="74" t="s">
        <v>443</v>
      </c>
      <c r="E45" s="93">
        <v>1414.4</v>
      </c>
      <c r="F45" s="93">
        <v>460</v>
      </c>
      <c r="G45" s="94">
        <f t="shared" si="1"/>
        <v>65.0624</v>
      </c>
      <c r="H45" s="95"/>
    </row>
    <row r="46" ht="14.25" spans="1:8">
      <c r="A46" s="74"/>
      <c r="B46" s="100"/>
      <c r="C46" s="95" t="s">
        <v>465</v>
      </c>
      <c r="D46" s="74" t="s">
        <v>443</v>
      </c>
      <c r="E46" s="93">
        <v>12.48</v>
      </c>
      <c r="F46" s="93">
        <v>650</v>
      </c>
      <c r="G46" s="94">
        <f t="shared" si="1"/>
        <v>0.8112</v>
      </c>
      <c r="H46" s="95"/>
    </row>
    <row r="47" ht="14.25" spans="1:8">
      <c r="A47" s="74"/>
      <c r="B47" s="101"/>
      <c r="C47" s="95" t="s">
        <v>466</v>
      </c>
      <c r="D47" s="74" t="s">
        <v>443</v>
      </c>
      <c r="E47" s="93">
        <v>3127.93</v>
      </c>
      <c r="F47" s="93">
        <v>35</v>
      </c>
      <c r="G47" s="94">
        <f t="shared" si="1"/>
        <v>10.947755</v>
      </c>
      <c r="H47" s="95"/>
    </row>
    <row r="48" ht="14.25" spans="1:8">
      <c r="A48" s="84">
        <v>7</v>
      </c>
      <c r="B48" s="85" t="s">
        <v>467</v>
      </c>
      <c r="C48" s="86"/>
      <c r="D48" s="84"/>
      <c r="E48" s="88"/>
      <c r="F48" s="88"/>
      <c r="G48" s="89">
        <f>SUM(G49:G53)</f>
        <v>43820.3079907</v>
      </c>
      <c r="H48" s="90"/>
    </row>
    <row r="49" ht="24.75" customHeight="1" spans="1:8">
      <c r="A49" s="74"/>
      <c r="B49" s="91" t="s">
        <v>468</v>
      </c>
      <c r="C49" s="92"/>
      <c r="D49" s="74" t="s">
        <v>443</v>
      </c>
      <c r="E49" s="93">
        <v>8617744.53941144</v>
      </c>
      <c r="F49" s="93">
        <v>25</v>
      </c>
      <c r="G49" s="94">
        <f>E49*F49/10000</f>
        <v>21544.3613485286</v>
      </c>
      <c r="H49" s="103" t="s">
        <v>469</v>
      </c>
    </row>
    <row r="50" customHeight="1" spans="1:8">
      <c r="A50" s="74"/>
      <c r="B50" s="91" t="s">
        <v>470</v>
      </c>
      <c r="C50" s="92"/>
      <c r="D50" s="74" t="s">
        <v>443</v>
      </c>
      <c r="E50" s="93">
        <v>384669.518944</v>
      </c>
      <c r="F50" s="93">
        <v>35</v>
      </c>
      <c r="G50" s="94">
        <f>E50*F50/10000</f>
        <v>1346.343316304</v>
      </c>
      <c r="H50" s="103" t="s">
        <v>471</v>
      </c>
    </row>
    <row r="51" customHeight="1" spans="1:8">
      <c r="A51" s="74"/>
      <c r="B51" s="91" t="s">
        <v>472</v>
      </c>
      <c r="C51" s="92"/>
      <c r="D51" s="74" t="s">
        <v>443</v>
      </c>
      <c r="E51" s="93">
        <v>6898652.21126679</v>
      </c>
      <c r="F51" s="93">
        <v>6</v>
      </c>
      <c r="G51" s="94">
        <f>E51*F51/10000</f>
        <v>4139.19132676007</v>
      </c>
      <c r="H51" s="103"/>
    </row>
    <row r="52" customHeight="1" spans="1:8">
      <c r="A52" s="74"/>
      <c r="B52" s="91" t="s">
        <v>473</v>
      </c>
      <c r="C52" s="92"/>
      <c r="D52" s="74" t="s">
        <v>443</v>
      </c>
      <c r="E52" s="93">
        <v>4565868.95808538</v>
      </c>
      <c r="F52" s="93">
        <v>36</v>
      </c>
      <c r="G52" s="94">
        <f>E52*F52/10000</f>
        <v>16437.1282491074</v>
      </c>
      <c r="H52" s="103" t="s">
        <v>474</v>
      </c>
    </row>
    <row r="53" ht="14.25" spans="1:8">
      <c r="A53" s="74"/>
      <c r="B53" s="91" t="s">
        <v>475</v>
      </c>
      <c r="C53" s="92"/>
      <c r="D53" s="74" t="s">
        <v>210</v>
      </c>
      <c r="E53" s="93">
        <v>141313.5</v>
      </c>
      <c r="F53" s="93">
        <f>F14</f>
        <v>25</v>
      </c>
      <c r="G53" s="94">
        <f>E53*F53/10000</f>
        <v>353.28375</v>
      </c>
      <c r="H53" s="95"/>
    </row>
    <row r="54" customHeight="1" spans="1:8">
      <c r="A54" s="84" t="s">
        <v>83</v>
      </c>
      <c r="B54" s="85" t="s">
        <v>84</v>
      </c>
      <c r="C54" s="86"/>
      <c r="D54" s="84"/>
      <c r="E54" s="87"/>
      <c r="F54" s="88"/>
      <c r="G54" s="89">
        <f>SUM(G55:G57)</f>
        <v>294459.89</v>
      </c>
      <c r="H54" s="90"/>
    </row>
    <row r="55" ht="14.25" spans="1:8">
      <c r="A55" s="74">
        <v>1</v>
      </c>
      <c r="B55" s="91" t="s">
        <v>476</v>
      </c>
      <c r="C55" s="92"/>
      <c r="D55" s="74" t="s">
        <v>210</v>
      </c>
      <c r="E55" s="93">
        <v>9900</v>
      </c>
      <c r="F55" s="93">
        <v>4100</v>
      </c>
      <c r="G55" s="94">
        <f>E55*F55/10000</f>
        <v>4059</v>
      </c>
      <c r="H55" s="95"/>
    </row>
    <row r="56" customHeight="1" spans="1:8">
      <c r="A56" s="74">
        <v>2</v>
      </c>
      <c r="B56" s="91" t="s">
        <v>477</v>
      </c>
      <c r="C56" s="92"/>
      <c r="D56" s="74" t="s">
        <v>210</v>
      </c>
      <c r="E56" s="93">
        <v>538562</v>
      </c>
      <c r="F56" s="93">
        <v>5200</v>
      </c>
      <c r="G56" s="94">
        <f>E56*F56/10000</f>
        <v>280052.24</v>
      </c>
      <c r="H56" s="95"/>
    </row>
    <row r="57" ht="14.25" spans="1:8">
      <c r="A57" s="74">
        <v>3</v>
      </c>
      <c r="B57" s="91" t="s">
        <v>478</v>
      </c>
      <c r="C57" s="92"/>
      <c r="D57" s="74" t="s">
        <v>210</v>
      </c>
      <c r="E57" s="93">
        <v>15921</v>
      </c>
      <c r="F57" s="93">
        <v>6500</v>
      </c>
      <c r="G57" s="94">
        <f>E57*F57/10000</f>
        <v>10348.65</v>
      </c>
      <c r="H57" s="95"/>
    </row>
    <row r="58" ht="14.25" spans="1:8">
      <c r="A58" s="84" t="s">
        <v>85</v>
      </c>
      <c r="B58" s="85" t="s">
        <v>88</v>
      </c>
      <c r="C58" s="86"/>
      <c r="D58" s="84" t="s">
        <v>230</v>
      </c>
      <c r="E58" s="87">
        <f>(7307.679-3540.044)*2</f>
        <v>7535.27</v>
      </c>
      <c r="F58" s="88">
        <v>140000</v>
      </c>
      <c r="G58" s="89">
        <f>E58*F58/10000</f>
        <v>105493.78</v>
      </c>
      <c r="H58" s="90"/>
    </row>
    <row r="59" ht="14.25" spans="1:8">
      <c r="A59" s="84" t="s">
        <v>87</v>
      </c>
      <c r="B59" s="85" t="s">
        <v>90</v>
      </c>
      <c r="C59" s="86"/>
      <c r="D59" s="84" t="s">
        <v>210</v>
      </c>
      <c r="E59" s="87">
        <v>881996</v>
      </c>
      <c r="F59" s="88">
        <v>220</v>
      </c>
      <c r="G59" s="89">
        <f>E59*F59/10000</f>
        <v>19403.912</v>
      </c>
      <c r="H59" s="90"/>
    </row>
    <row r="60" ht="14.25" spans="1:8">
      <c r="A60" s="84" t="s">
        <v>89</v>
      </c>
      <c r="B60" s="85" t="s">
        <v>479</v>
      </c>
      <c r="C60" s="86"/>
      <c r="D60" s="84"/>
      <c r="E60" s="87"/>
      <c r="F60" s="88"/>
      <c r="G60" s="89">
        <f>G61+G66+G88</f>
        <v>38108.004</v>
      </c>
      <c r="H60" s="90"/>
    </row>
    <row r="61" ht="14.25" spans="1:8">
      <c r="A61" s="84" t="s">
        <v>480</v>
      </c>
      <c r="B61" s="85" t="s">
        <v>481</v>
      </c>
      <c r="C61" s="86"/>
      <c r="D61" s="84"/>
      <c r="E61" s="87"/>
      <c r="F61" s="88"/>
      <c r="G61" s="89">
        <f>SUM(G62:G65)</f>
        <v>5016.319</v>
      </c>
      <c r="H61" s="90"/>
    </row>
    <row r="62" ht="14.25" spans="1:8">
      <c r="A62" s="74"/>
      <c r="B62" s="91" t="s">
        <v>482</v>
      </c>
      <c r="C62" s="92"/>
      <c r="D62" s="74" t="s">
        <v>230</v>
      </c>
      <c r="E62" s="104">
        <f>34134*0.9</f>
        <v>30720.6</v>
      </c>
      <c r="F62" s="93">
        <v>650</v>
      </c>
      <c r="G62" s="94">
        <f>E62*F62/10000</f>
        <v>1996.839</v>
      </c>
      <c r="H62" s="95"/>
    </row>
    <row r="63" ht="14.25" spans="1:8">
      <c r="A63" s="74"/>
      <c r="B63" s="91" t="s">
        <v>483</v>
      </c>
      <c r="C63" s="92"/>
      <c r="D63" s="74" t="s">
        <v>230</v>
      </c>
      <c r="E63" s="104">
        <v>6440</v>
      </c>
      <c r="F63" s="93">
        <v>1150</v>
      </c>
      <c r="G63" s="94">
        <f>E63*F63/10000</f>
        <v>740.6</v>
      </c>
      <c r="H63" s="95"/>
    </row>
    <row r="64" ht="14.25" spans="1:8">
      <c r="A64" s="74"/>
      <c r="B64" s="91" t="s">
        <v>484</v>
      </c>
      <c r="C64" s="92"/>
      <c r="D64" s="74" t="s">
        <v>230</v>
      </c>
      <c r="E64" s="104">
        <v>2400</v>
      </c>
      <c r="F64" s="93">
        <v>1800</v>
      </c>
      <c r="G64" s="94">
        <f>E64*F64/10000</f>
        <v>432</v>
      </c>
      <c r="H64" s="95"/>
    </row>
    <row r="65" ht="14.25" spans="1:8">
      <c r="A65" s="74"/>
      <c r="B65" s="91" t="s">
        <v>485</v>
      </c>
      <c r="C65" s="92"/>
      <c r="D65" s="74" t="s">
        <v>230</v>
      </c>
      <c r="E65" s="104">
        <v>2716</v>
      </c>
      <c r="F65" s="93">
        <v>6800</v>
      </c>
      <c r="G65" s="94">
        <f>E65*F65/10000</f>
        <v>1846.88</v>
      </c>
      <c r="H65" s="95"/>
    </row>
    <row r="66" ht="14.25" spans="1:8">
      <c r="A66" s="84" t="s">
        <v>486</v>
      </c>
      <c r="B66" s="85" t="s">
        <v>487</v>
      </c>
      <c r="C66" s="86"/>
      <c r="D66" s="84"/>
      <c r="E66" s="87"/>
      <c r="F66" s="88"/>
      <c r="G66" s="89">
        <f>SUM(G67:G87)</f>
        <v>22821.864</v>
      </c>
      <c r="H66" s="90"/>
    </row>
    <row r="67" ht="14.25" spans="1:8">
      <c r="A67" s="74"/>
      <c r="B67" s="91" t="s">
        <v>488</v>
      </c>
      <c r="C67" s="92"/>
      <c r="D67" s="74" t="s">
        <v>230</v>
      </c>
      <c r="E67" s="104">
        <v>850</v>
      </c>
      <c r="F67" s="93">
        <v>13650</v>
      </c>
      <c r="G67" s="94">
        <f t="shared" ref="G67:G99" si="2">E67*F67/10000</f>
        <v>1160.25</v>
      </c>
      <c r="H67" s="95"/>
    </row>
    <row r="68" ht="14.25" spans="1:8">
      <c r="A68" s="74"/>
      <c r="B68" s="91" t="s">
        <v>489</v>
      </c>
      <c r="C68" s="92"/>
      <c r="D68" s="74" t="s">
        <v>230</v>
      </c>
      <c r="E68" s="104">
        <v>1900</v>
      </c>
      <c r="F68" s="93">
        <v>8000</v>
      </c>
      <c r="G68" s="94">
        <f t="shared" si="2"/>
        <v>1520</v>
      </c>
      <c r="H68" s="95"/>
    </row>
    <row r="69" ht="14.25" spans="1:8">
      <c r="A69" s="74"/>
      <c r="B69" s="91" t="s">
        <v>490</v>
      </c>
      <c r="C69" s="92"/>
      <c r="D69" s="74" t="s">
        <v>230</v>
      </c>
      <c r="E69" s="104">
        <f>INT(3846*0.95)</f>
        <v>3653</v>
      </c>
      <c r="F69" s="93">
        <v>6650</v>
      </c>
      <c r="G69" s="94">
        <f t="shared" si="2"/>
        <v>2429.245</v>
      </c>
      <c r="H69" s="95"/>
    </row>
    <row r="70" ht="14.25" spans="1:8">
      <c r="A70" s="74"/>
      <c r="B70" s="91" t="s">
        <v>491</v>
      </c>
      <c r="C70" s="92"/>
      <c r="D70" s="74" t="s">
        <v>230</v>
      </c>
      <c r="E70" s="104">
        <f>INT(3917*0.95)</f>
        <v>3721</v>
      </c>
      <c r="F70" s="93">
        <v>5400</v>
      </c>
      <c r="G70" s="94">
        <f t="shared" si="2"/>
        <v>2009.34</v>
      </c>
      <c r="H70" s="95"/>
    </row>
    <row r="71" ht="14.25" spans="1:8">
      <c r="A71" s="74"/>
      <c r="B71" s="91" t="s">
        <v>492</v>
      </c>
      <c r="C71" s="92"/>
      <c r="D71" s="74" t="s">
        <v>230</v>
      </c>
      <c r="E71" s="104">
        <f>INT(5726*0.95)</f>
        <v>5439</v>
      </c>
      <c r="F71" s="93">
        <v>3460</v>
      </c>
      <c r="G71" s="94">
        <f t="shared" si="2"/>
        <v>1881.894</v>
      </c>
      <c r="H71" s="95"/>
    </row>
    <row r="72" ht="14.25" spans="1:8">
      <c r="A72" s="74"/>
      <c r="B72" s="91" t="s">
        <v>493</v>
      </c>
      <c r="C72" s="92"/>
      <c r="D72" s="74" t="s">
        <v>230</v>
      </c>
      <c r="E72" s="104">
        <f>INT(5968*0.95)</f>
        <v>5669</v>
      </c>
      <c r="F72" s="93">
        <v>2900</v>
      </c>
      <c r="G72" s="94">
        <f t="shared" si="2"/>
        <v>1644.01</v>
      </c>
      <c r="H72" s="95"/>
    </row>
    <row r="73" ht="14.25" spans="1:8">
      <c r="A73" s="74"/>
      <c r="B73" s="91" t="s">
        <v>494</v>
      </c>
      <c r="C73" s="92"/>
      <c r="D73" s="74" t="s">
        <v>230</v>
      </c>
      <c r="E73" s="104">
        <f>INT(6142*0.95)</f>
        <v>5834</v>
      </c>
      <c r="F73" s="93">
        <v>2320</v>
      </c>
      <c r="G73" s="94">
        <f t="shared" si="2"/>
        <v>1353.488</v>
      </c>
      <c r="H73" s="95"/>
    </row>
    <row r="74" ht="14.25" spans="1:8">
      <c r="A74" s="74"/>
      <c r="B74" s="91" t="s">
        <v>495</v>
      </c>
      <c r="C74" s="92"/>
      <c r="D74" s="74" t="s">
        <v>230</v>
      </c>
      <c r="E74" s="104">
        <f>INT(6499*0.95)</f>
        <v>6174</v>
      </c>
      <c r="F74" s="93">
        <v>1580</v>
      </c>
      <c r="G74" s="94">
        <f t="shared" si="2"/>
        <v>975.492</v>
      </c>
      <c r="H74" s="95"/>
    </row>
    <row r="75" ht="14.25" spans="1:8">
      <c r="A75" s="74"/>
      <c r="B75" s="91" t="s">
        <v>496</v>
      </c>
      <c r="C75" s="92"/>
      <c r="D75" s="74" t="s">
        <v>230</v>
      </c>
      <c r="E75" s="104">
        <f>INT(10516*0.95)</f>
        <v>9990</v>
      </c>
      <c r="F75" s="93">
        <v>1060</v>
      </c>
      <c r="G75" s="94">
        <f t="shared" si="2"/>
        <v>1058.94</v>
      </c>
      <c r="H75" s="95"/>
    </row>
    <row r="76" ht="14.25" spans="1:8">
      <c r="A76" s="74"/>
      <c r="B76" s="91" t="s">
        <v>497</v>
      </c>
      <c r="C76" s="92"/>
      <c r="D76" s="74" t="s">
        <v>230</v>
      </c>
      <c r="E76" s="104">
        <v>23542</v>
      </c>
      <c r="F76" s="93">
        <v>1970</v>
      </c>
      <c r="G76" s="94">
        <f t="shared" si="2"/>
        <v>4637.774</v>
      </c>
      <c r="H76" s="95"/>
    </row>
    <row r="77" ht="14.25" spans="1:8">
      <c r="A77" s="74"/>
      <c r="B77" s="91" t="s">
        <v>498</v>
      </c>
      <c r="C77" s="92"/>
      <c r="D77" s="74" t="s">
        <v>230</v>
      </c>
      <c r="E77" s="104">
        <v>18195</v>
      </c>
      <c r="F77" s="93">
        <v>800</v>
      </c>
      <c r="G77" s="94">
        <f t="shared" si="2"/>
        <v>1455.6</v>
      </c>
      <c r="H77" s="95"/>
    </row>
    <row r="78" ht="14.25" spans="1:8">
      <c r="A78" s="74"/>
      <c r="B78" s="91" t="s">
        <v>499</v>
      </c>
      <c r="C78" s="92"/>
      <c r="D78" s="74" t="s">
        <v>500</v>
      </c>
      <c r="E78" s="104">
        <v>95</v>
      </c>
      <c r="F78" s="93">
        <v>7500</v>
      </c>
      <c r="G78" s="94">
        <f t="shared" si="2"/>
        <v>71.25</v>
      </c>
      <c r="H78" s="95"/>
    </row>
    <row r="79" ht="14.25" spans="1:8">
      <c r="A79" s="74"/>
      <c r="B79" s="91" t="s">
        <v>501</v>
      </c>
      <c r="C79" s="92"/>
      <c r="D79" s="74" t="s">
        <v>500</v>
      </c>
      <c r="E79" s="104">
        <v>101</v>
      </c>
      <c r="F79" s="93">
        <v>6710</v>
      </c>
      <c r="G79" s="94">
        <f t="shared" si="2"/>
        <v>67.771</v>
      </c>
      <c r="H79" s="95"/>
    </row>
    <row r="80" ht="14.25" spans="1:8">
      <c r="A80" s="74"/>
      <c r="B80" s="91" t="s">
        <v>502</v>
      </c>
      <c r="C80" s="92"/>
      <c r="D80" s="74" t="s">
        <v>500</v>
      </c>
      <c r="E80" s="104">
        <v>144</v>
      </c>
      <c r="F80" s="93">
        <v>5950</v>
      </c>
      <c r="G80" s="94">
        <f t="shared" si="2"/>
        <v>85.68</v>
      </c>
      <c r="H80" s="95"/>
    </row>
    <row r="81" ht="14.25" spans="1:8">
      <c r="A81" s="74"/>
      <c r="B81" s="91" t="s">
        <v>503</v>
      </c>
      <c r="C81" s="92"/>
      <c r="D81" s="74" t="s">
        <v>500</v>
      </c>
      <c r="E81" s="104">
        <v>152</v>
      </c>
      <c r="F81" s="93">
        <v>5700</v>
      </c>
      <c r="G81" s="94">
        <f t="shared" si="2"/>
        <v>86.64</v>
      </c>
      <c r="H81" s="95"/>
    </row>
    <row r="82" ht="14.25" spans="1:8">
      <c r="A82" s="74"/>
      <c r="B82" s="91" t="s">
        <v>504</v>
      </c>
      <c r="C82" s="92"/>
      <c r="D82" s="74" t="s">
        <v>500</v>
      </c>
      <c r="E82" s="104">
        <v>158</v>
      </c>
      <c r="F82" s="93">
        <v>5400</v>
      </c>
      <c r="G82" s="94">
        <f t="shared" si="2"/>
        <v>85.32</v>
      </c>
      <c r="H82" s="95"/>
    </row>
    <row r="83" ht="14.25" spans="1:8">
      <c r="A83" s="74"/>
      <c r="B83" s="91" t="s">
        <v>505</v>
      </c>
      <c r="C83" s="92"/>
      <c r="D83" s="74" t="s">
        <v>500</v>
      </c>
      <c r="E83" s="104">
        <v>165</v>
      </c>
      <c r="F83" s="93">
        <v>5200</v>
      </c>
      <c r="G83" s="94">
        <f t="shared" si="2"/>
        <v>85.8</v>
      </c>
      <c r="H83" s="95"/>
    </row>
    <row r="84" ht="14.25" spans="1:8">
      <c r="A84" s="74"/>
      <c r="B84" s="91" t="s">
        <v>506</v>
      </c>
      <c r="C84" s="92"/>
      <c r="D84" s="74" t="s">
        <v>500</v>
      </c>
      <c r="E84" s="104">
        <v>265</v>
      </c>
      <c r="F84" s="93">
        <v>4700</v>
      </c>
      <c r="G84" s="94">
        <f t="shared" si="2"/>
        <v>124.55</v>
      </c>
      <c r="H84" s="95"/>
    </row>
    <row r="85" ht="14.25" spans="1:8">
      <c r="A85" s="74"/>
      <c r="B85" s="91" t="s">
        <v>507</v>
      </c>
      <c r="C85" s="92"/>
      <c r="D85" s="74" t="s">
        <v>500</v>
      </c>
      <c r="E85" s="104">
        <v>804</v>
      </c>
      <c r="F85" s="93">
        <v>4050</v>
      </c>
      <c r="G85" s="94">
        <f t="shared" si="2"/>
        <v>325.62</v>
      </c>
      <c r="H85" s="95"/>
    </row>
    <row r="86" ht="14.25" spans="1:8">
      <c r="A86" s="74"/>
      <c r="B86" s="91" t="s">
        <v>508</v>
      </c>
      <c r="C86" s="92"/>
      <c r="D86" s="74" t="s">
        <v>500</v>
      </c>
      <c r="E86" s="104">
        <v>3200</v>
      </c>
      <c r="F86" s="93">
        <v>2350</v>
      </c>
      <c r="G86" s="94">
        <f t="shared" si="2"/>
        <v>752</v>
      </c>
      <c r="H86" s="95"/>
    </row>
    <row r="87" ht="14.25" spans="1:8">
      <c r="A87" s="74"/>
      <c r="B87" s="91" t="s">
        <v>509</v>
      </c>
      <c r="C87" s="92"/>
      <c r="D87" s="74" t="s">
        <v>230</v>
      </c>
      <c r="E87" s="104">
        <v>6400</v>
      </c>
      <c r="F87" s="93">
        <f>F74</f>
        <v>1580</v>
      </c>
      <c r="G87" s="94">
        <f t="shared" si="2"/>
        <v>1011.2</v>
      </c>
      <c r="H87" s="95"/>
    </row>
    <row r="88" ht="14.25" spans="1:8">
      <c r="A88" s="84" t="s">
        <v>510</v>
      </c>
      <c r="B88" s="85" t="s">
        <v>511</v>
      </c>
      <c r="C88" s="86"/>
      <c r="D88" s="84"/>
      <c r="E88" s="87"/>
      <c r="F88" s="88"/>
      <c r="G88" s="89">
        <f>SUM(G89:G99)</f>
        <v>10269.821</v>
      </c>
      <c r="H88" s="90"/>
    </row>
    <row r="89" ht="14.25" spans="1:8">
      <c r="A89" s="74"/>
      <c r="B89" s="91" t="s">
        <v>512</v>
      </c>
      <c r="C89" s="92"/>
      <c r="D89" s="74" t="s">
        <v>230</v>
      </c>
      <c r="E89" s="104">
        <v>20741</v>
      </c>
      <c r="F89" s="93">
        <v>1080</v>
      </c>
      <c r="G89" s="94">
        <f>E89*F89/10000</f>
        <v>2240.028</v>
      </c>
      <c r="H89" s="95"/>
    </row>
    <row r="90" ht="14.25" spans="1:8">
      <c r="A90" s="74"/>
      <c r="B90" s="91" t="s">
        <v>513</v>
      </c>
      <c r="C90" s="92"/>
      <c r="D90" s="74" t="s">
        <v>230</v>
      </c>
      <c r="E90" s="104">
        <v>15273</v>
      </c>
      <c r="F90" s="93">
        <v>1550</v>
      </c>
      <c r="G90" s="94">
        <f t="shared" si="2"/>
        <v>2367.315</v>
      </c>
      <c r="H90" s="95"/>
    </row>
    <row r="91" ht="14.25" spans="1:8">
      <c r="A91" s="74"/>
      <c r="B91" s="91" t="s">
        <v>497</v>
      </c>
      <c r="C91" s="92"/>
      <c r="D91" s="74" t="s">
        <v>230</v>
      </c>
      <c r="E91" s="104">
        <v>8473</v>
      </c>
      <c r="F91" s="93">
        <v>2150</v>
      </c>
      <c r="G91" s="94">
        <f t="shared" si="2"/>
        <v>1821.695</v>
      </c>
      <c r="H91" s="95"/>
    </row>
    <row r="92" ht="14.25" spans="1:8">
      <c r="A92" s="74"/>
      <c r="B92" s="91" t="s">
        <v>514</v>
      </c>
      <c r="C92" s="92"/>
      <c r="D92" s="74" t="s">
        <v>230</v>
      </c>
      <c r="E92" s="104">
        <v>3179</v>
      </c>
      <c r="F92" s="93">
        <v>3670</v>
      </c>
      <c r="G92" s="94">
        <f t="shared" si="2"/>
        <v>1166.693</v>
      </c>
      <c r="H92" s="95"/>
    </row>
    <row r="93" ht="14.25" spans="1:8">
      <c r="A93" s="74"/>
      <c r="B93" s="91" t="s">
        <v>515</v>
      </c>
      <c r="C93" s="92"/>
      <c r="D93" s="74" t="s">
        <v>230</v>
      </c>
      <c r="E93" s="104">
        <v>900</v>
      </c>
      <c r="F93" s="93">
        <v>5800</v>
      </c>
      <c r="G93" s="94">
        <f t="shared" si="2"/>
        <v>522</v>
      </c>
      <c r="H93" s="95"/>
    </row>
    <row r="94" ht="14.25" spans="1:8">
      <c r="A94" s="74"/>
      <c r="B94" s="91" t="s">
        <v>516</v>
      </c>
      <c r="C94" s="92"/>
      <c r="D94" s="74" t="s">
        <v>230</v>
      </c>
      <c r="E94" s="104">
        <v>920</v>
      </c>
      <c r="F94" s="93">
        <v>8250</v>
      </c>
      <c r="G94" s="94">
        <f t="shared" si="2"/>
        <v>759</v>
      </c>
      <c r="H94" s="95"/>
    </row>
    <row r="95" ht="14.25" spans="1:8">
      <c r="A95" s="74"/>
      <c r="B95" s="91" t="s">
        <v>517</v>
      </c>
      <c r="C95" s="92"/>
      <c r="D95" s="74" t="s">
        <v>230</v>
      </c>
      <c r="E95" s="104">
        <v>896</v>
      </c>
      <c r="F95" s="93">
        <v>9000</v>
      </c>
      <c r="G95" s="94">
        <f t="shared" si="2"/>
        <v>806.4</v>
      </c>
      <c r="H95" s="95"/>
    </row>
    <row r="96" ht="14.25" spans="1:8">
      <c r="A96" s="74"/>
      <c r="B96" s="91" t="s">
        <v>518</v>
      </c>
      <c r="C96" s="92"/>
      <c r="D96" s="74" t="s">
        <v>500</v>
      </c>
      <c r="E96" s="104">
        <v>46</v>
      </c>
      <c r="F96" s="93">
        <v>6900</v>
      </c>
      <c r="G96" s="94">
        <f t="shared" si="2"/>
        <v>31.74</v>
      </c>
      <c r="H96" s="95"/>
    </row>
    <row r="97" ht="14.25" spans="1:8">
      <c r="A97" s="74"/>
      <c r="B97" s="91" t="s">
        <v>519</v>
      </c>
      <c r="C97" s="92"/>
      <c r="D97" s="74" t="s">
        <v>500</v>
      </c>
      <c r="E97" s="104">
        <v>23</v>
      </c>
      <c r="F97" s="93">
        <v>6500</v>
      </c>
      <c r="G97" s="94">
        <f t="shared" si="2"/>
        <v>14.95</v>
      </c>
      <c r="H97" s="95"/>
    </row>
    <row r="98" ht="14.25" spans="1:8">
      <c r="A98" s="74"/>
      <c r="B98" s="91" t="s">
        <v>520</v>
      </c>
      <c r="C98" s="92"/>
      <c r="D98" s="74" t="s">
        <v>500</v>
      </c>
      <c r="E98" s="104">
        <v>355</v>
      </c>
      <c r="F98" s="93">
        <v>4800</v>
      </c>
      <c r="G98" s="94">
        <f t="shared" si="2"/>
        <v>170.4</v>
      </c>
      <c r="H98" s="95"/>
    </row>
    <row r="99" ht="14.25" spans="1:8">
      <c r="A99" s="74"/>
      <c r="B99" s="91" t="s">
        <v>521</v>
      </c>
      <c r="C99" s="92"/>
      <c r="D99" s="74" t="s">
        <v>500</v>
      </c>
      <c r="E99" s="104">
        <v>880</v>
      </c>
      <c r="F99" s="93">
        <v>4200</v>
      </c>
      <c r="G99" s="94">
        <f t="shared" si="2"/>
        <v>369.6</v>
      </c>
      <c r="H99" s="95"/>
    </row>
    <row r="100" ht="14.25" spans="1:8">
      <c r="A100" s="84" t="s">
        <v>91</v>
      </c>
      <c r="B100" s="85" t="s">
        <v>94</v>
      </c>
      <c r="C100" s="86"/>
      <c r="D100" s="84"/>
      <c r="E100" s="87"/>
      <c r="F100" s="88"/>
      <c r="G100" s="89">
        <f>+G101+G105+G108</f>
        <v>34676</v>
      </c>
      <c r="H100" s="90"/>
    </row>
    <row r="101" ht="14.25" spans="1:8">
      <c r="A101" s="84" t="s">
        <v>480</v>
      </c>
      <c r="B101" s="85" t="s">
        <v>522</v>
      </c>
      <c r="C101" s="86"/>
      <c r="D101" s="84"/>
      <c r="E101" s="87"/>
      <c r="F101" s="88"/>
      <c r="G101" s="89">
        <f>SUM(G102:G104)</f>
        <v>17549.5</v>
      </c>
      <c r="H101" s="90"/>
    </row>
    <row r="102" ht="14.25" spans="1:8">
      <c r="A102" s="74">
        <v>1</v>
      </c>
      <c r="B102" s="91" t="s">
        <v>523</v>
      </c>
      <c r="C102" s="92"/>
      <c r="D102" s="74" t="s">
        <v>230</v>
      </c>
      <c r="E102" s="104">
        <v>32000</v>
      </c>
      <c r="F102" s="93">
        <v>3100</v>
      </c>
      <c r="G102" s="94">
        <f>E102*F102/10000</f>
        <v>9920</v>
      </c>
      <c r="H102" s="95"/>
    </row>
    <row r="103" ht="14.25" spans="1:8">
      <c r="A103" s="74">
        <v>2</v>
      </c>
      <c r="B103" s="91" t="s">
        <v>524</v>
      </c>
      <c r="C103" s="92"/>
      <c r="D103" s="74" t="s">
        <v>230</v>
      </c>
      <c r="E103" s="104">
        <v>15300</v>
      </c>
      <c r="F103" s="93">
        <v>4600</v>
      </c>
      <c r="G103" s="94">
        <f>E103*F103/10000</f>
        <v>7038</v>
      </c>
      <c r="H103" s="95"/>
    </row>
    <row r="104" ht="14.25" spans="1:8">
      <c r="A104" s="74">
        <v>3</v>
      </c>
      <c r="B104" s="91" t="s">
        <v>525</v>
      </c>
      <c r="C104" s="92"/>
      <c r="D104" s="74" t="s">
        <v>500</v>
      </c>
      <c r="E104" s="104">
        <v>910</v>
      </c>
      <c r="F104" s="93">
        <v>6500</v>
      </c>
      <c r="G104" s="94">
        <f>E104*F104/10000</f>
        <v>591.5</v>
      </c>
      <c r="H104" s="95"/>
    </row>
    <row r="105" ht="14.25" spans="1:8">
      <c r="A105" s="84" t="s">
        <v>486</v>
      </c>
      <c r="B105" s="85" t="s">
        <v>526</v>
      </c>
      <c r="C105" s="86"/>
      <c r="D105" s="84"/>
      <c r="E105" s="87"/>
      <c r="F105" s="88"/>
      <c r="G105" s="89">
        <f>SUM(G106:G107)</f>
        <v>6118</v>
      </c>
      <c r="H105" s="90"/>
    </row>
    <row r="106" ht="14.25" spans="1:8">
      <c r="A106" s="74">
        <v>1</v>
      </c>
      <c r="B106" s="91" t="s">
        <v>527</v>
      </c>
      <c r="C106" s="92"/>
      <c r="D106" s="74" t="s">
        <v>230</v>
      </c>
      <c r="E106" s="104">
        <v>46000</v>
      </c>
      <c r="F106" s="93">
        <v>1200</v>
      </c>
      <c r="G106" s="94">
        <f>E106*F106/10000</f>
        <v>5520</v>
      </c>
      <c r="H106" s="95"/>
    </row>
    <row r="107" ht="14.25" spans="1:8">
      <c r="A107" s="74">
        <v>2</v>
      </c>
      <c r="B107" s="91" t="s">
        <v>525</v>
      </c>
      <c r="C107" s="92"/>
      <c r="D107" s="74" t="s">
        <v>500</v>
      </c>
      <c r="E107" s="104">
        <v>920</v>
      </c>
      <c r="F107" s="93">
        <v>6500</v>
      </c>
      <c r="G107" s="94">
        <f>E107*F107/10000</f>
        <v>598</v>
      </c>
      <c r="H107" s="95"/>
    </row>
    <row r="108" ht="14.25" spans="1:8">
      <c r="A108" s="84" t="s">
        <v>510</v>
      </c>
      <c r="B108" s="85" t="s">
        <v>528</v>
      </c>
      <c r="C108" s="86"/>
      <c r="D108" s="84" t="s">
        <v>529</v>
      </c>
      <c r="E108" s="87">
        <v>44.034</v>
      </c>
      <c r="F108" s="88">
        <v>2500000</v>
      </c>
      <c r="G108" s="89">
        <f>E108*F108/10000</f>
        <v>11008.5</v>
      </c>
      <c r="H108" s="90"/>
    </row>
    <row r="109" ht="14.25" spans="1:8">
      <c r="A109" s="84" t="s">
        <v>93</v>
      </c>
      <c r="B109" s="85" t="s">
        <v>530</v>
      </c>
      <c r="C109" s="86"/>
      <c r="D109" s="84"/>
      <c r="E109" s="87"/>
      <c r="F109" s="88"/>
      <c r="G109" s="89">
        <f>SUM(G110:G112)</f>
        <v>3834.4</v>
      </c>
      <c r="H109" s="90"/>
    </row>
    <row r="110" ht="14.25" spans="1:8">
      <c r="A110" s="74">
        <v>1</v>
      </c>
      <c r="B110" s="91" t="s">
        <v>531</v>
      </c>
      <c r="C110" s="92"/>
      <c r="D110" s="74" t="s">
        <v>230</v>
      </c>
      <c r="E110" s="104">
        <v>4900</v>
      </c>
      <c r="F110" s="93">
        <v>700</v>
      </c>
      <c r="G110" s="94">
        <f>E110*F110/10000</f>
        <v>343</v>
      </c>
      <c r="H110" s="95"/>
    </row>
    <row r="111" ht="14.25" spans="1:8">
      <c r="A111" s="74">
        <v>2</v>
      </c>
      <c r="B111" s="91" t="s">
        <v>532</v>
      </c>
      <c r="C111" s="92"/>
      <c r="D111" s="74" t="s">
        <v>230</v>
      </c>
      <c r="E111" s="104">
        <v>36850</v>
      </c>
      <c r="F111" s="93">
        <v>800</v>
      </c>
      <c r="G111" s="94">
        <f>E111*F111/10000</f>
        <v>2948</v>
      </c>
      <c r="H111" s="95"/>
    </row>
    <row r="112" ht="14.25" spans="1:8">
      <c r="A112" s="74">
        <v>3</v>
      </c>
      <c r="B112" s="91" t="s">
        <v>533</v>
      </c>
      <c r="C112" s="92"/>
      <c r="D112" s="74" t="s">
        <v>230</v>
      </c>
      <c r="E112" s="104">
        <v>4940</v>
      </c>
      <c r="F112" s="93">
        <v>1100</v>
      </c>
      <c r="G112" s="94">
        <f>E112*F112/10000</f>
        <v>543.4</v>
      </c>
      <c r="H112" s="95"/>
    </row>
    <row r="113" ht="14.25" spans="1:8">
      <c r="A113" s="84" t="s">
        <v>95</v>
      </c>
      <c r="B113" s="85" t="s">
        <v>96</v>
      </c>
      <c r="C113" s="86"/>
      <c r="D113" s="84"/>
      <c r="E113" s="87"/>
      <c r="F113" s="88"/>
      <c r="G113" s="89">
        <f>SUM(G114:G116)</f>
        <v>13650.54</v>
      </c>
      <c r="H113" s="90"/>
    </row>
    <row r="114" ht="14.25" spans="1:8">
      <c r="A114" s="74">
        <v>1</v>
      </c>
      <c r="B114" s="91" t="s">
        <v>534</v>
      </c>
      <c r="C114" s="92"/>
      <c r="D114" s="74" t="s">
        <v>529</v>
      </c>
      <c r="E114" s="104">
        <v>44.034</v>
      </c>
      <c r="F114" s="93">
        <v>800000</v>
      </c>
      <c r="G114" s="94">
        <f t="shared" ref="G114:G121" si="3">E114*F114/10000</f>
        <v>3522.72</v>
      </c>
      <c r="H114" s="95"/>
    </row>
    <row r="115" ht="14.25" spans="1:8">
      <c r="A115" s="74">
        <v>2</v>
      </c>
      <c r="B115" s="91" t="s">
        <v>535</v>
      </c>
      <c r="C115" s="92"/>
      <c r="D115" s="74" t="s">
        <v>529</v>
      </c>
      <c r="E115" s="104">
        <v>44.034</v>
      </c>
      <c r="F115" s="93">
        <v>1000000</v>
      </c>
      <c r="G115" s="94">
        <f t="shared" si="3"/>
        <v>4403.4</v>
      </c>
      <c r="H115" s="95"/>
    </row>
    <row r="116" ht="14.25" spans="1:8">
      <c r="A116" s="74">
        <v>3</v>
      </c>
      <c r="B116" s="91" t="s">
        <v>536</v>
      </c>
      <c r="C116" s="92"/>
      <c r="D116" s="74" t="s">
        <v>529</v>
      </c>
      <c r="E116" s="104">
        <f>E115</f>
        <v>44.034</v>
      </c>
      <c r="F116" s="93">
        <v>1300000</v>
      </c>
      <c r="G116" s="94">
        <f t="shared" si="3"/>
        <v>5724.42</v>
      </c>
      <c r="H116" s="95"/>
    </row>
    <row r="117" ht="14.25" spans="1:8">
      <c r="A117" s="84" t="s">
        <v>97</v>
      </c>
      <c r="B117" s="85" t="s">
        <v>537</v>
      </c>
      <c r="C117" s="86"/>
      <c r="D117" s="84"/>
      <c r="E117" s="87"/>
      <c r="F117" s="88"/>
      <c r="G117" s="89">
        <f>SUM(G118:G119)</f>
        <v>4000</v>
      </c>
      <c r="H117" s="90"/>
    </row>
    <row r="118" ht="14.25" spans="1:8">
      <c r="A118" s="74">
        <v>1</v>
      </c>
      <c r="B118" s="91" t="s">
        <v>538</v>
      </c>
      <c r="C118" s="92"/>
      <c r="D118" s="74" t="s">
        <v>529</v>
      </c>
      <c r="E118" s="104">
        <v>20</v>
      </c>
      <c r="F118" s="93">
        <v>2000000</v>
      </c>
      <c r="G118" s="94">
        <f t="shared" si="3"/>
        <v>4000</v>
      </c>
      <c r="H118" s="95"/>
    </row>
    <row r="119" ht="14.25" spans="1:8">
      <c r="A119" s="74">
        <v>2</v>
      </c>
      <c r="B119" s="91" t="s">
        <v>539</v>
      </c>
      <c r="C119" s="92"/>
      <c r="D119" s="74" t="s">
        <v>540</v>
      </c>
      <c r="E119" s="104">
        <v>1</v>
      </c>
      <c r="F119" s="93"/>
      <c r="G119" s="94">
        <f t="shared" si="3"/>
        <v>0</v>
      </c>
      <c r="H119" s="95" t="s">
        <v>101</v>
      </c>
    </row>
    <row r="120" ht="14.25" spans="1:8">
      <c r="A120" s="84" t="s">
        <v>99</v>
      </c>
      <c r="B120" s="85" t="s">
        <v>541</v>
      </c>
      <c r="C120" s="86"/>
      <c r="D120" s="84" t="s">
        <v>540</v>
      </c>
      <c r="E120" s="87">
        <v>1</v>
      </c>
      <c r="F120" s="88">
        <v>5000000</v>
      </c>
      <c r="G120" s="89">
        <f t="shared" si="3"/>
        <v>500</v>
      </c>
      <c r="H120" s="90" t="s">
        <v>101</v>
      </c>
    </row>
    <row r="121" ht="14.25" spans="1:8">
      <c r="A121" s="84" t="s">
        <v>151</v>
      </c>
      <c r="B121" s="85" t="s">
        <v>542</v>
      </c>
      <c r="C121" s="86"/>
      <c r="D121" s="84" t="s">
        <v>529</v>
      </c>
      <c r="E121" s="87">
        <v>11.13</v>
      </c>
      <c r="F121" s="88">
        <v>2500000</v>
      </c>
      <c r="G121" s="89">
        <f t="shared" si="3"/>
        <v>2782.5</v>
      </c>
      <c r="H121" s="90"/>
    </row>
    <row r="122" ht="14.25" spans="1:8">
      <c r="A122" s="84" t="s">
        <v>153</v>
      </c>
      <c r="B122" s="85" t="s">
        <v>543</v>
      </c>
      <c r="C122" s="86"/>
      <c r="D122" s="84"/>
      <c r="E122" s="87"/>
      <c r="F122" s="88"/>
      <c r="G122" s="89">
        <f>SUM(G4,G54,G58,G59,G60,G100,G109,G113,G117,G120,G121)</f>
        <v>662271.371065251</v>
      </c>
      <c r="H122" s="90"/>
    </row>
  </sheetData>
  <mergeCells count="116">
    <mergeCell ref="A1:H1"/>
    <mergeCell ref="E2:G2"/>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4:C34"/>
    <mergeCell ref="B35:C35"/>
    <mergeCell ref="B36:C36"/>
    <mergeCell ref="B40:C40"/>
    <mergeCell ref="B48:C48"/>
    <mergeCell ref="B49:C49"/>
    <mergeCell ref="B50:C50"/>
    <mergeCell ref="B51:C51"/>
    <mergeCell ref="B52:C52"/>
    <mergeCell ref="B53:C53"/>
    <mergeCell ref="B54:C54"/>
    <mergeCell ref="B55:C55"/>
    <mergeCell ref="B56:C56"/>
    <mergeCell ref="B57:C57"/>
    <mergeCell ref="B58:C58"/>
    <mergeCell ref="B59:C59"/>
    <mergeCell ref="B60:C60"/>
    <mergeCell ref="B61:C61"/>
    <mergeCell ref="B62:C62"/>
    <mergeCell ref="B63:C63"/>
    <mergeCell ref="B64:C64"/>
    <mergeCell ref="B65:C65"/>
    <mergeCell ref="B66:C66"/>
    <mergeCell ref="B67:C67"/>
    <mergeCell ref="B68:C68"/>
    <mergeCell ref="B69:C69"/>
    <mergeCell ref="B70:C70"/>
    <mergeCell ref="B71:C71"/>
    <mergeCell ref="B72:C72"/>
    <mergeCell ref="B73:C73"/>
    <mergeCell ref="B74:C74"/>
    <mergeCell ref="B75:C75"/>
    <mergeCell ref="B76:C76"/>
    <mergeCell ref="B77:C77"/>
    <mergeCell ref="B78:C78"/>
    <mergeCell ref="B79:C79"/>
    <mergeCell ref="B80:C80"/>
    <mergeCell ref="B81:C81"/>
    <mergeCell ref="B82:C82"/>
    <mergeCell ref="B83:C83"/>
    <mergeCell ref="B84:C84"/>
    <mergeCell ref="B85:C85"/>
    <mergeCell ref="B86:C86"/>
    <mergeCell ref="B87:C87"/>
    <mergeCell ref="B88:C88"/>
    <mergeCell ref="B89:C89"/>
    <mergeCell ref="B90:C90"/>
    <mergeCell ref="B91:C91"/>
    <mergeCell ref="B92:C92"/>
    <mergeCell ref="B93:C93"/>
    <mergeCell ref="B94:C94"/>
    <mergeCell ref="B95:C95"/>
    <mergeCell ref="B96:C96"/>
    <mergeCell ref="B97:C97"/>
    <mergeCell ref="B98:C98"/>
    <mergeCell ref="B99:C99"/>
    <mergeCell ref="B100:C100"/>
    <mergeCell ref="B101:C101"/>
    <mergeCell ref="B102:C102"/>
    <mergeCell ref="B103:C103"/>
    <mergeCell ref="B104:C104"/>
    <mergeCell ref="B105:C105"/>
    <mergeCell ref="B106:C106"/>
    <mergeCell ref="B107:C107"/>
    <mergeCell ref="B108:C108"/>
    <mergeCell ref="B109:C109"/>
    <mergeCell ref="B110:C110"/>
    <mergeCell ref="B111:C111"/>
    <mergeCell ref="B112:C112"/>
    <mergeCell ref="B113:C113"/>
    <mergeCell ref="B114:C114"/>
    <mergeCell ref="B115:C115"/>
    <mergeCell ref="B116:C116"/>
    <mergeCell ref="B117:C117"/>
    <mergeCell ref="B118:C118"/>
    <mergeCell ref="B119:C119"/>
    <mergeCell ref="B120:C120"/>
    <mergeCell ref="B121:C121"/>
    <mergeCell ref="B122:C122"/>
    <mergeCell ref="A2:A3"/>
    <mergeCell ref="B31:B33"/>
    <mergeCell ref="B37:B39"/>
    <mergeCell ref="B42:B44"/>
    <mergeCell ref="B45:B47"/>
    <mergeCell ref="D2:D3"/>
    <mergeCell ref="H2:H3"/>
    <mergeCell ref="B2:C3"/>
  </mergeCells>
  <pageMargins left="0.904861111111111" right="0.708333333333333" top="0.747916666666667" bottom="0.550694444444444" header="0.314583333333333" footer="0.314583333333333"/>
  <pageSetup paperSize="9" scale="73" fitToHeight="100" orientation="portrait" horizontalDpi="600"/>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70C0"/>
    <pageSetUpPr fitToPage="1"/>
  </sheetPr>
  <dimension ref="A1:H26"/>
  <sheetViews>
    <sheetView tabSelected="1" workbookViewId="0">
      <selection activeCell="C18" sqref="C18"/>
    </sheetView>
  </sheetViews>
  <sheetFormatPr defaultColWidth="9" defaultRowHeight="18.75" outlineLevelCol="7"/>
  <cols>
    <col min="1" max="1" width="15.25" style="2" customWidth="1"/>
    <col min="2" max="2" width="16.75" style="2" customWidth="1"/>
    <col min="3" max="3" width="9" style="2"/>
    <col min="4" max="4" width="10.25" style="2" customWidth="1"/>
    <col min="5" max="5" width="12" style="2" customWidth="1"/>
    <col min="6" max="7" width="10.5" style="2" customWidth="1"/>
    <col min="8" max="16384" width="9" style="2"/>
  </cols>
  <sheetData>
    <row r="1" s="1" customFormat="1" customHeight="1" spans="1:8">
      <c r="A1" s="60" t="s">
        <v>254</v>
      </c>
      <c r="B1" s="60"/>
      <c r="C1" s="60"/>
      <c r="D1" s="60"/>
      <c r="E1" s="60"/>
      <c r="F1" s="60"/>
      <c r="G1" s="60"/>
      <c r="H1" s="60"/>
    </row>
    <row r="2" s="1" customFormat="1"/>
    <row r="3" s="1" customFormat="1" spans="3:7">
      <c r="C3" s="61" t="s">
        <v>198</v>
      </c>
      <c r="D3" s="62" t="s">
        <v>13</v>
      </c>
      <c r="E3" s="62" t="s">
        <v>14</v>
      </c>
      <c r="F3" s="63" t="s">
        <v>15</v>
      </c>
      <c r="G3" s="64" t="s">
        <v>4</v>
      </c>
    </row>
    <row r="4" s="1" customFormat="1" ht="24" customHeight="1" spans="1:7">
      <c r="A4" s="65" t="s">
        <v>81</v>
      </c>
      <c r="B4" s="66" t="s">
        <v>209</v>
      </c>
      <c r="C4" s="67" t="s">
        <v>210</v>
      </c>
      <c r="D4" s="68">
        <f>279729+25672+90332+108900</f>
        <v>504633</v>
      </c>
      <c r="E4" s="68">
        <f>142384+214599+55109+7264+E11</f>
        <v>508847</v>
      </c>
      <c r="F4" s="68">
        <f>751617+84221+F11+F12</f>
        <v>1274019</v>
      </c>
      <c r="G4" s="68">
        <f>SUM(D4:F4)</f>
        <v>2287499</v>
      </c>
    </row>
    <row r="5" ht="24" customHeight="1" spans="1:7">
      <c r="A5" s="65" t="s">
        <v>83</v>
      </c>
      <c r="B5" s="66" t="s">
        <v>213</v>
      </c>
      <c r="C5" s="67" t="s">
        <v>210</v>
      </c>
      <c r="D5" s="69">
        <f>67147+167137+14175</f>
        <v>248459</v>
      </c>
      <c r="E5" s="69">
        <f>47397+2200+178439+18182</f>
        <v>246218</v>
      </c>
      <c r="F5" s="69">
        <f>188653+56998+418666.5</f>
        <v>664317.5</v>
      </c>
      <c r="G5" s="68">
        <f t="shared" ref="G5:G15" si="0">SUM(D5:F5)</f>
        <v>1158994.5</v>
      </c>
    </row>
    <row r="6" ht="24" customHeight="1" spans="1:7">
      <c r="A6" s="70" t="s">
        <v>85</v>
      </c>
      <c r="B6" s="66" t="s">
        <v>215</v>
      </c>
      <c r="C6" s="71" t="s">
        <v>216</v>
      </c>
      <c r="D6" s="69">
        <f>176+120+240+30+30+60+25</f>
        <v>681</v>
      </c>
      <c r="E6" s="69">
        <f>120+245+77+46+238+82+84+35+50+55+10+30</f>
        <v>1072</v>
      </c>
      <c r="F6" s="69">
        <f>92+370+983+214+242+114+460+300+88</f>
        <v>2863</v>
      </c>
      <c r="G6" s="68">
        <f t="shared" si="0"/>
        <v>4616</v>
      </c>
    </row>
    <row r="7" ht="24" customHeight="1" spans="1:7">
      <c r="A7" s="70" t="s">
        <v>87</v>
      </c>
      <c r="B7" s="66" t="s">
        <v>218</v>
      </c>
      <c r="C7" s="71" t="s">
        <v>219</v>
      </c>
      <c r="D7" s="69">
        <v>1654</v>
      </c>
      <c r="E7" s="69">
        <v>1800</v>
      </c>
      <c r="F7" s="69">
        <v>0</v>
      </c>
      <c r="G7" s="68">
        <f t="shared" si="0"/>
        <v>3454</v>
      </c>
    </row>
    <row r="8" ht="24" customHeight="1" spans="1:7">
      <c r="A8" s="70"/>
      <c r="B8" s="66" t="s">
        <v>220</v>
      </c>
      <c r="C8" s="67"/>
      <c r="D8" s="69"/>
      <c r="E8" s="69"/>
      <c r="F8" s="69"/>
      <c r="G8" s="68">
        <f t="shared" si="0"/>
        <v>0</v>
      </c>
    </row>
    <row r="9" ht="24" customHeight="1" spans="1:7">
      <c r="A9" s="70" t="s">
        <v>89</v>
      </c>
      <c r="B9" s="61" t="s">
        <v>221</v>
      </c>
      <c r="C9" s="67"/>
      <c r="D9" s="69"/>
      <c r="E9" s="69"/>
      <c r="F9" s="69"/>
      <c r="G9" s="68">
        <f t="shared" si="0"/>
        <v>0</v>
      </c>
    </row>
    <row r="10" ht="24" customHeight="1" spans="1:7">
      <c r="A10" s="70">
        <v>1</v>
      </c>
      <c r="B10" s="71" t="s">
        <v>222</v>
      </c>
      <c r="C10" s="67" t="s">
        <v>210</v>
      </c>
      <c r="D10" s="69">
        <f>279729+0</f>
        <v>279729</v>
      </c>
      <c r="E10" s="69">
        <v>142384.27</v>
      </c>
      <c r="F10" s="69">
        <v>751617</v>
      </c>
      <c r="G10" s="68">
        <f t="shared" si="0"/>
        <v>1173730.27</v>
      </c>
    </row>
    <row r="11" ht="24" customHeight="1" spans="1:7">
      <c r="A11" s="72">
        <v>2</v>
      </c>
      <c r="B11" s="71" t="s">
        <v>225</v>
      </c>
      <c r="C11" s="67" t="s">
        <v>210</v>
      </c>
      <c r="D11" s="69">
        <f>2888+3300+1650+3300+5775+3713+5775+14362+12375+29769+7425</f>
        <v>90332</v>
      </c>
      <c r="E11" s="69">
        <v>89491</v>
      </c>
      <c r="F11" s="69">
        <f>24902+44856+268433+99990</f>
        <v>438181</v>
      </c>
      <c r="G11" s="68">
        <f t="shared" si="0"/>
        <v>618004</v>
      </c>
    </row>
    <row r="12" ht="24" customHeight="1" spans="1:7">
      <c r="A12" s="70">
        <v>3</v>
      </c>
      <c r="B12" s="71" t="s">
        <v>228</v>
      </c>
      <c r="C12" s="67" t="s">
        <v>210</v>
      </c>
      <c r="D12" s="69">
        <f>3960*13.75*2</f>
        <v>108900</v>
      </c>
      <c r="E12" s="69"/>
      <c r="F12" s="69">
        <v>0</v>
      </c>
      <c r="G12" s="68">
        <f t="shared" si="0"/>
        <v>108900</v>
      </c>
    </row>
    <row r="13" ht="24" customHeight="1" spans="1:7">
      <c r="A13" s="70">
        <v>4</v>
      </c>
      <c r="B13" s="71" t="s">
        <v>229</v>
      </c>
      <c r="C13" s="67" t="s">
        <v>230</v>
      </c>
      <c r="D13" s="69">
        <v>12217</v>
      </c>
      <c r="E13" s="69">
        <v>9070</v>
      </c>
      <c r="F13" s="69">
        <v>223200</v>
      </c>
      <c r="G13" s="68">
        <f t="shared" si="0"/>
        <v>244487</v>
      </c>
    </row>
    <row r="14" ht="24" customHeight="1" spans="1:7">
      <c r="A14" s="70">
        <v>5</v>
      </c>
      <c r="B14" s="73" t="s">
        <v>231</v>
      </c>
      <c r="C14" s="73" t="s">
        <v>230</v>
      </c>
      <c r="D14" s="69">
        <v>4378</v>
      </c>
      <c r="E14" s="69">
        <v>2000</v>
      </c>
      <c r="F14" s="69">
        <v>5600</v>
      </c>
      <c r="G14" s="68">
        <f t="shared" si="0"/>
        <v>11978</v>
      </c>
    </row>
    <row r="15" ht="24" customHeight="1" spans="1:7">
      <c r="A15" s="70">
        <v>6</v>
      </c>
      <c r="B15" s="71" t="s">
        <v>232</v>
      </c>
      <c r="C15" s="73" t="s">
        <v>230</v>
      </c>
      <c r="D15" s="69">
        <f>15081+10414+14714+8050+16114</f>
        <v>64373</v>
      </c>
      <c r="E15" s="69">
        <f>24350+4866+1526+7000+4563+10502+147+4563+603</f>
        <v>58120</v>
      </c>
      <c r="F15" s="69">
        <f>44640+31248+15624+14466</f>
        <v>105978</v>
      </c>
      <c r="G15" s="68">
        <f t="shared" si="0"/>
        <v>228471</v>
      </c>
    </row>
    <row r="16" ht="24" customHeight="1"/>
    <row r="17" ht="24" customHeight="1"/>
    <row r="18" ht="24" customHeight="1"/>
    <row r="19" ht="24" customHeight="1"/>
    <row r="20" ht="24" customHeight="1"/>
    <row r="21" ht="24" customHeight="1"/>
    <row r="22" ht="24" customHeight="1"/>
    <row r="23" ht="24" customHeight="1"/>
    <row r="24" ht="24" customHeight="1"/>
    <row r="25" ht="24" customHeight="1"/>
    <row r="26" s="1" customFormat="1" ht="24" customHeight="1"/>
  </sheetData>
  <mergeCells count="1">
    <mergeCell ref="A1:H1"/>
  </mergeCells>
  <pageMargins left="0.707638888888889" right="0.707638888888889" top="0.747916666666667" bottom="0.747916666666667" header="0.313888888888889" footer="0.313888888888889"/>
  <pageSetup paperSize="9" fitToHeight="100" orientation="landscape"/>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70C0"/>
    <pageSetUpPr fitToPage="1"/>
  </sheetPr>
  <dimension ref="A1:L63"/>
  <sheetViews>
    <sheetView workbookViewId="0">
      <selection activeCell="I5" sqref="I5:L5"/>
    </sheetView>
  </sheetViews>
  <sheetFormatPr defaultColWidth="9" defaultRowHeight="18.75"/>
  <cols>
    <col min="1" max="1" width="6.5" style="2" customWidth="1"/>
    <col min="2" max="2" width="16.875" style="2" customWidth="1"/>
    <col min="3" max="3" width="15.75" style="2" customWidth="1"/>
    <col min="4" max="4" width="10.5" style="2" customWidth="1"/>
    <col min="5" max="5" width="11.125" style="2" customWidth="1"/>
    <col min="6" max="6" width="11.75" style="2" customWidth="1"/>
    <col min="7" max="7" width="16.375" style="2" customWidth="1"/>
    <col min="8" max="11" width="9" style="2"/>
    <col min="12" max="12" width="15" style="2" customWidth="1"/>
    <col min="13" max="16384" width="9" style="2"/>
  </cols>
  <sheetData>
    <row r="1" ht="20.25" customHeight="1" spans="1:7">
      <c r="A1" s="3" t="s">
        <v>544</v>
      </c>
      <c r="B1" s="4"/>
      <c r="C1" s="4"/>
      <c r="D1" s="4"/>
      <c r="E1" s="4"/>
      <c r="F1" s="4"/>
      <c r="G1" s="4"/>
    </row>
    <row r="2" s="1" customFormat="1" customHeight="1" spans="1:7">
      <c r="A2" s="5" t="s">
        <v>1</v>
      </c>
      <c r="B2" s="6" t="s">
        <v>545</v>
      </c>
      <c r="C2" s="7"/>
      <c r="D2" s="8" t="s">
        <v>546</v>
      </c>
      <c r="E2" s="8" t="s">
        <v>547</v>
      </c>
      <c r="F2" s="9" t="s">
        <v>548</v>
      </c>
      <c r="G2" s="5" t="s">
        <v>74</v>
      </c>
    </row>
    <row r="3" s="1" customFormat="1" spans="1:7">
      <c r="A3" s="10"/>
      <c r="B3" s="11"/>
      <c r="C3" s="12"/>
      <c r="D3" s="13"/>
      <c r="E3" s="13"/>
      <c r="F3" s="9" t="s">
        <v>191</v>
      </c>
      <c r="G3" s="10"/>
    </row>
    <row r="4" s="1" customFormat="1" ht="24" customHeight="1" spans="1:7">
      <c r="A4" s="14" t="s">
        <v>81</v>
      </c>
      <c r="B4" s="15" t="s">
        <v>549</v>
      </c>
      <c r="C4" s="16"/>
      <c r="D4" s="17"/>
      <c r="E4" s="17"/>
      <c r="F4" s="18"/>
      <c r="G4" s="10"/>
    </row>
    <row r="5" ht="24" customHeight="1" spans="1:12">
      <c r="A5" s="18">
        <v>1</v>
      </c>
      <c r="B5" s="19" t="s">
        <v>550</v>
      </c>
      <c r="C5" s="20"/>
      <c r="D5" s="21"/>
      <c r="E5" s="21"/>
      <c r="F5" s="22">
        <f>SUM(F6:F13)</f>
        <v>183273.855</v>
      </c>
      <c r="G5" s="23"/>
      <c r="I5" s="58">
        <v>75500.59</v>
      </c>
      <c r="J5" s="58">
        <v>105126.28</v>
      </c>
      <c r="K5" s="58">
        <v>251168.25</v>
      </c>
      <c r="L5" s="2">
        <f>SUM(I5:K5)</f>
        <v>431795.12</v>
      </c>
    </row>
    <row r="6" ht="24" customHeight="1" spans="1:12">
      <c r="A6" s="24">
        <v>1.1</v>
      </c>
      <c r="B6" s="24" t="s">
        <v>551</v>
      </c>
      <c r="C6" s="9" t="s">
        <v>552</v>
      </c>
      <c r="D6" s="25">
        <f>12.05*10000</f>
        <v>120500</v>
      </c>
      <c r="E6" s="25">
        <v>1412</v>
      </c>
      <c r="F6" s="26">
        <f>D6*E6/10000</f>
        <v>17014.6</v>
      </c>
      <c r="G6" s="27" t="s">
        <v>553</v>
      </c>
      <c r="I6" s="58">
        <v>68396.79</v>
      </c>
      <c r="J6" s="58">
        <v>94057.68</v>
      </c>
      <c r="K6" s="58">
        <v>220271.25</v>
      </c>
      <c r="L6" s="2">
        <f>SUM(I6:K6)</f>
        <v>382725.72</v>
      </c>
    </row>
    <row r="7" ht="24" customHeight="1" spans="1:12">
      <c r="A7" s="28"/>
      <c r="B7" s="28"/>
      <c r="C7" s="9" t="s">
        <v>554</v>
      </c>
      <c r="D7" s="25">
        <v>100000</v>
      </c>
      <c r="E7" s="25">
        <v>2101</v>
      </c>
      <c r="F7" s="26">
        <f t="shared" ref="F7:F21" si="0">D7*E7/10000</f>
        <v>21010</v>
      </c>
      <c r="G7" s="27" t="s">
        <v>555</v>
      </c>
      <c r="I7" s="58">
        <v>7103.8</v>
      </c>
      <c r="J7" s="58">
        <v>11068.6</v>
      </c>
      <c r="K7" s="58">
        <v>30897</v>
      </c>
      <c r="L7" s="2">
        <f>SUM(I7:K7)</f>
        <v>49069.4</v>
      </c>
    </row>
    <row r="8" ht="24" customHeight="1" spans="1:7">
      <c r="A8" s="24">
        <v>1.2</v>
      </c>
      <c r="B8" s="24" t="s">
        <v>556</v>
      </c>
      <c r="C8" s="9" t="s">
        <v>552</v>
      </c>
      <c r="D8" s="25">
        <v>3000</v>
      </c>
      <c r="E8" s="25">
        <f>212*667</f>
        <v>141404</v>
      </c>
      <c r="F8" s="26">
        <f t="shared" si="0"/>
        <v>42421.2</v>
      </c>
      <c r="G8" s="27" t="s">
        <v>557</v>
      </c>
    </row>
    <row r="9" ht="24" customHeight="1" spans="1:7">
      <c r="A9" s="28"/>
      <c r="B9" s="28"/>
      <c r="C9" s="9" t="s">
        <v>554</v>
      </c>
      <c r="D9" s="25">
        <v>2500</v>
      </c>
      <c r="E9" s="25">
        <f>257*667</f>
        <v>171419</v>
      </c>
      <c r="F9" s="26">
        <f t="shared" si="0"/>
        <v>42854.75</v>
      </c>
      <c r="G9" s="27" t="s">
        <v>558</v>
      </c>
    </row>
    <row r="10" ht="24" customHeight="1" spans="1:7">
      <c r="A10" s="24">
        <v>1.3</v>
      </c>
      <c r="B10" s="24" t="s">
        <v>559</v>
      </c>
      <c r="C10" s="9" t="s">
        <v>552</v>
      </c>
      <c r="D10" s="25">
        <v>750</v>
      </c>
      <c r="E10" s="25">
        <f>314*667</f>
        <v>209438</v>
      </c>
      <c r="F10" s="26">
        <f t="shared" si="0"/>
        <v>15707.85</v>
      </c>
      <c r="G10" s="27" t="s">
        <v>560</v>
      </c>
    </row>
    <row r="11" ht="24" customHeight="1" spans="1:12">
      <c r="A11" s="28"/>
      <c r="B11" s="28"/>
      <c r="C11" s="9" t="s">
        <v>554</v>
      </c>
      <c r="D11" s="25">
        <v>650</v>
      </c>
      <c r="E11" s="25">
        <f>521*667</f>
        <v>347507</v>
      </c>
      <c r="F11" s="26">
        <f t="shared" si="0"/>
        <v>22587.955</v>
      </c>
      <c r="G11" s="27" t="s">
        <v>561</v>
      </c>
      <c r="I11" s="59"/>
      <c r="L11" s="59">
        <f>F5+F14+F22+F38+F41+F42+F54</f>
        <v>704453.087</v>
      </c>
    </row>
    <row r="12" s="1" customFormat="1" ht="24" customHeight="1" spans="1:7">
      <c r="A12" s="24">
        <v>1.4</v>
      </c>
      <c r="B12" s="24" t="s">
        <v>562</v>
      </c>
      <c r="C12" s="9" t="s">
        <v>552</v>
      </c>
      <c r="D12" s="25">
        <v>4500</v>
      </c>
      <c r="E12" s="25">
        <f>59*667</f>
        <v>39353</v>
      </c>
      <c r="F12" s="26">
        <f t="shared" si="0"/>
        <v>17708.85</v>
      </c>
      <c r="G12" s="27" t="s">
        <v>563</v>
      </c>
    </row>
    <row r="13" ht="24" customHeight="1" spans="1:7">
      <c r="A13" s="28"/>
      <c r="B13" s="28"/>
      <c r="C13" s="9" t="s">
        <v>554</v>
      </c>
      <c r="D13" s="25">
        <v>3500</v>
      </c>
      <c r="E13" s="25">
        <f>17*667</f>
        <v>11339</v>
      </c>
      <c r="F13" s="26">
        <f t="shared" si="0"/>
        <v>3968.65</v>
      </c>
      <c r="G13" s="27" t="s">
        <v>564</v>
      </c>
    </row>
    <row r="14" ht="24" customHeight="1" spans="1:7">
      <c r="A14" s="18">
        <v>2</v>
      </c>
      <c r="B14" s="19" t="s">
        <v>565</v>
      </c>
      <c r="C14" s="20"/>
      <c r="D14" s="21"/>
      <c r="E14" s="21"/>
      <c r="F14" s="22">
        <f>SUM(F15:F21)</f>
        <v>7393.5</v>
      </c>
      <c r="G14" s="23"/>
    </row>
    <row r="15" ht="24" customHeight="1" spans="1:7">
      <c r="A15" s="24">
        <v>2.1</v>
      </c>
      <c r="B15" s="24" t="s">
        <v>566</v>
      </c>
      <c r="C15" s="9" t="s">
        <v>567</v>
      </c>
      <c r="D15" s="25">
        <v>45000</v>
      </c>
      <c r="E15" s="25">
        <v>750</v>
      </c>
      <c r="F15" s="26">
        <f t="shared" si="0"/>
        <v>3375</v>
      </c>
      <c r="G15" s="27" t="s">
        <v>568</v>
      </c>
    </row>
    <row r="16" ht="24" customHeight="1" spans="1:7">
      <c r="A16" s="29"/>
      <c r="B16" s="29"/>
      <c r="C16" s="9" t="s">
        <v>569</v>
      </c>
      <c r="D16" s="25">
        <v>40000</v>
      </c>
      <c r="E16" s="25">
        <v>420</v>
      </c>
      <c r="F16" s="26">
        <f t="shared" si="0"/>
        <v>1680</v>
      </c>
      <c r="G16" s="27" t="s">
        <v>570</v>
      </c>
    </row>
    <row r="17" ht="24" customHeight="1" spans="1:7">
      <c r="A17" s="28"/>
      <c r="B17" s="28"/>
      <c r="C17" s="9" t="s">
        <v>571</v>
      </c>
      <c r="D17" s="25">
        <v>35000</v>
      </c>
      <c r="E17" s="25">
        <v>342</v>
      </c>
      <c r="F17" s="26">
        <f t="shared" si="0"/>
        <v>1197</v>
      </c>
      <c r="G17" s="27" t="s">
        <v>572</v>
      </c>
    </row>
    <row r="18" ht="24" customHeight="1" spans="1:7">
      <c r="A18" s="24">
        <v>2.2</v>
      </c>
      <c r="B18" s="24" t="s">
        <v>573</v>
      </c>
      <c r="C18" s="9" t="s">
        <v>574</v>
      </c>
      <c r="D18" s="25">
        <v>25000</v>
      </c>
      <c r="E18" s="25">
        <v>241</v>
      </c>
      <c r="F18" s="26">
        <f t="shared" si="0"/>
        <v>602.5</v>
      </c>
      <c r="G18" s="27" t="s">
        <v>575</v>
      </c>
    </row>
    <row r="19" ht="24" customHeight="1" spans="1:7">
      <c r="A19" s="29"/>
      <c r="B19" s="29"/>
      <c r="C19" s="9" t="s">
        <v>576</v>
      </c>
      <c r="D19" s="25">
        <v>20000</v>
      </c>
      <c r="E19" s="25">
        <v>119</v>
      </c>
      <c r="F19" s="26">
        <f t="shared" si="0"/>
        <v>238</v>
      </c>
      <c r="G19" s="27" t="s">
        <v>577</v>
      </c>
    </row>
    <row r="20" ht="24" customHeight="1" spans="1:7">
      <c r="A20" s="28"/>
      <c r="B20" s="28"/>
      <c r="C20" s="9" t="s">
        <v>578</v>
      </c>
      <c r="D20" s="25">
        <v>10000</v>
      </c>
      <c r="E20" s="25">
        <v>132</v>
      </c>
      <c r="F20" s="26">
        <f t="shared" si="0"/>
        <v>132</v>
      </c>
      <c r="G20" s="27" t="s">
        <v>579</v>
      </c>
    </row>
    <row r="21" ht="24" customHeight="1" spans="1:7">
      <c r="A21" s="9">
        <v>2.3</v>
      </c>
      <c r="B21" s="30" t="s">
        <v>580</v>
      </c>
      <c r="C21" s="31"/>
      <c r="D21" s="25">
        <v>5000</v>
      </c>
      <c r="E21" s="25">
        <v>338</v>
      </c>
      <c r="F21" s="26">
        <f t="shared" si="0"/>
        <v>169</v>
      </c>
      <c r="G21" s="27" t="s">
        <v>581</v>
      </c>
    </row>
    <row r="22" ht="24" customHeight="1" spans="1:7">
      <c r="A22" s="18">
        <v>3</v>
      </c>
      <c r="B22" s="19" t="s">
        <v>582</v>
      </c>
      <c r="C22" s="20"/>
      <c r="D22" s="21"/>
      <c r="E22" s="21"/>
      <c r="F22" s="22">
        <f>F23+F35</f>
        <v>110102.73</v>
      </c>
      <c r="G22" s="32"/>
    </row>
    <row r="23" ht="24" customHeight="1" spans="1:7">
      <c r="A23" s="9">
        <v>3.1</v>
      </c>
      <c r="B23" s="30" t="s">
        <v>583</v>
      </c>
      <c r="C23" s="31"/>
      <c r="D23" s="25"/>
      <c r="E23" s="25"/>
      <c r="F23" s="22">
        <f>SUM(F24:F34)</f>
        <v>80680.38</v>
      </c>
      <c r="G23" s="23"/>
    </row>
    <row r="24" ht="24" customHeight="1" spans="1:7">
      <c r="A24" s="24" t="s">
        <v>584</v>
      </c>
      <c r="B24" s="24" t="s">
        <v>585</v>
      </c>
      <c r="C24" s="9" t="s">
        <v>586</v>
      </c>
      <c r="D24" s="25">
        <v>3000</v>
      </c>
      <c r="E24" s="25">
        <v>81457</v>
      </c>
      <c r="F24" s="26">
        <f t="shared" ref="F24:F34" si="1">D24*E24/10000</f>
        <v>24437.1</v>
      </c>
      <c r="G24" s="27" t="s">
        <v>587</v>
      </c>
    </row>
    <row r="25" ht="24" customHeight="1" spans="1:7">
      <c r="A25" s="29"/>
      <c r="B25" s="29"/>
      <c r="C25" s="9" t="s">
        <v>588</v>
      </c>
      <c r="D25" s="25">
        <v>2500</v>
      </c>
      <c r="E25" s="25">
        <v>41357</v>
      </c>
      <c r="F25" s="26">
        <f t="shared" si="1"/>
        <v>10339.25</v>
      </c>
      <c r="G25" s="27" t="s">
        <v>589</v>
      </c>
    </row>
    <row r="26" ht="24" customHeight="1" spans="1:7">
      <c r="A26" s="29"/>
      <c r="B26" s="29"/>
      <c r="C26" s="9" t="s">
        <v>590</v>
      </c>
      <c r="D26" s="25">
        <v>1500</v>
      </c>
      <c r="E26" s="25">
        <v>7842</v>
      </c>
      <c r="F26" s="26">
        <f t="shared" si="1"/>
        <v>1176.3</v>
      </c>
      <c r="G26" s="27" t="s">
        <v>591</v>
      </c>
    </row>
    <row r="27" ht="24" customHeight="1" spans="1:7">
      <c r="A27" s="28"/>
      <c r="B27" s="28"/>
      <c r="C27" s="9" t="s">
        <v>592</v>
      </c>
      <c r="D27" s="25">
        <v>1000</v>
      </c>
      <c r="E27" s="25">
        <v>12174</v>
      </c>
      <c r="F27" s="26">
        <f t="shared" si="1"/>
        <v>1217.4</v>
      </c>
      <c r="G27" s="27" t="s">
        <v>593</v>
      </c>
    </row>
    <row r="28" s="1" customFormat="1" ht="24" customHeight="1" spans="1:7">
      <c r="A28" s="24" t="s">
        <v>594</v>
      </c>
      <c r="B28" s="24" t="s">
        <v>595</v>
      </c>
      <c r="C28" s="9" t="s">
        <v>586</v>
      </c>
      <c r="D28" s="25">
        <v>2500</v>
      </c>
      <c r="E28" s="25">
        <v>29871</v>
      </c>
      <c r="F28" s="26">
        <f t="shared" si="1"/>
        <v>7467.75</v>
      </c>
      <c r="G28" s="27" t="s">
        <v>596</v>
      </c>
    </row>
    <row r="29" ht="24" customHeight="1" spans="1:7">
      <c r="A29" s="29"/>
      <c r="B29" s="29"/>
      <c r="C29" s="9" t="s">
        <v>588</v>
      </c>
      <c r="D29" s="25">
        <v>2000</v>
      </c>
      <c r="E29" s="25">
        <v>14938</v>
      </c>
      <c r="F29" s="26">
        <f t="shared" si="1"/>
        <v>2987.6</v>
      </c>
      <c r="G29" s="27" t="s">
        <v>597</v>
      </c>
    </row>
    <row r="30" ht="24" customHeight="1" spans="1:7">
      <c r="A30" s="24" t="s">
        <v>598</v>
      </c>
      <c r="B30" s="24" t="s">
        <v>599</v>
      </c>
      <c r="C30" s="9" t="s">
        <v>600</v>
      </c>
      <c r="D30" s="25">
        <v>6000</v>
      </c>
      <c r="E30" s="25">
        <v>10357</v>
      </c>
      <c r="F30" s="26">
        <f t="shared" si="1"/>
        <v>6214.2</v>
      </c>
      <c r="G30" s="27" t="s">
        <v>601</v>
      </c>
    </row>
    <row r="31" ht="24" customHeight="1" spans="1:7">
      <c r="A31" s="28"/>
      <c r="B31" s="28"/>
      <c r="C31" s="9" t="s">
        <v>602</v>
      </c>
      <c r="D31" s="25">
        <v>3000</v>
      </c>
      <c r="E31" s="25">
        <v>7957</v>
      </c>
      <c r="F31" s="26">
        <f t="shared" si="1"/>
        <v>2387.1</v>
      </c>
      <c r="G31" s="27" t="s">
        <v>603</v>
      </c>
    </row>
    <row r="32" ht="24" customHeight="1" spans="1:7">
      <c r="A32" s="24" t="s">
        <v>604</v>
      </c>
      <c r="B32" s="24" t="s">
        <v>605</v>
      </c>
      <c r="C32" s="9" t="s">
        <v>606</v>
      </c>
      <c r="D32" s="33">
        <v>1500</v>
      </c>
      <c r="E32" s="33">
        <v>145174</v>
      </c>
      <c r="F32" s="26">
        <f t="shared" si="1"/>
        <v>21776.1</v>
      </c>
      <c r="G32" s="27" t="s">
        <v>607</v>
      </c>
    </row>
    <row r="33" ht="24" customHeight="1" spans="1:7">
      <c r="A33" s="29"/>
      <c r="B33" s="29"/>
      <c r="C33" s="9" t="s">
        <v>608</v>
      </c>
      <c r="D33" s="25">
        <v>1000</v>
      </c>
      <c r="E33" s="25">
        <v>23715</v>
      </c>
      <c r="F33" s="26">
        <f t="shared" si="1"/>
        <v>2371.5</v>
      </c>
      <c r="G33" s="27" t="s">
        <v>609</v>
      </c>
    </row>
    <row r="34" s="1" customFormat="1" ht="24" customHeight="1" spans="1:7">
      <c r="A34" s="28"/>
      <c r="B34" s="28"/>
      <c r="C34" s="9" t="s">
        <v>610</v>
      </c>
      <c r="D34" s="25">
        <v>400</v>
      </c>
      <c r="E34" s="25">
        <v>7652</v>
      </c>
      <c r="F34" s="26">
        <f t="shared" si="1"/>
        <v>306.08</v>
      </c>
      <c r="G34" s="34" t="s">
        <v>611</v>
      </c>
    </row>
    <row r="35" ht="24" customHeight="1" spans="1:7">
      <c r="A35" s="9">
        <v>3.2</v>
      </c>
      <c r="B35" s="9" t="s">
        <v>612</v>
      </c>
      <c r="C35" s="9"/>
      <c r="D35" s="35"/>
      <c r="E35" s="35"/>
      <c r="F35" s="36">
        <f>F36+F37</f>
        <v>29422.35</v>
      </c>
      <c r="G35" s="34"/>
    </row>
    <row r="36" ht="24" customHeight="1" spans="1:7">
      <c r="A36" s="24" t="s">
        <v>613</v>
      </c>
      <c r="B36" s="24" t="s">
        <v>612</v>
      </c>
      <c r="C36" s="9" t="s">
        <v>614</v>
      </c>
      <c r="D36" s="25">
        <v>1000</v>
      </c>
      <c r="E36" s="25">
        <f>SUM(E24:E31)</f>
        <v>205953</v>
      </c>
      <c r="F36" s="26">
        <f>D36*E36*0.0001</f>
        <v>20595.3</v>
      </c>
      <c r="G36" s="34" t="s">
        <v>615</v>
      </c>
    </row>
    <row r="37" ht="24" customHeight="1" spans="1:7">
      <c r="A37" s="28"/>
      <c r="B37" s="28"/>
      <c r="C37" s="9" t="s">
        <v>616</v>
      </c>
      <c r="D37" s="25">
        <v>500</v>
      </c>
      <c r="E37" s="25">
        <f>SUM(E32:E34)</f>
        <v>176541</v>
      </c>
      <c r="F37" s="26">
        <f>D37*E37*0.0001</f>
        <v>8827.05</v>
      </c>
      <c r="G37" s="34" t="s">
        <v>617</v>
      </c>
    </row>
    <row r="38" s="1" customFormat="1" ht="24" customHeight="1" spans="1:7">
      <c r="A38" s="18">
        <v>4</v>
      </c>
      <c r="B38" s="19" t="s">
        <v>618</v>
      </c>
      <c r="C38" s="20"/>
      <c r="D38" s="21"/>
      <c r="E38" s="21"/>
      <c r="F38" s="22">
        <f>SUM(F39:F40)</f>
        <v>5000</v>
      </c>
      <c r="G38" s="23"/>
    </row>
    <row r="39" ht="24" customHeight="1" spans="1:7">
      <c r="A39" s="9">
        <v>4.1</v>
      </c>
      <c r="B39" s="30" t="s">
        <v>619</v>
      </c>
      <c r="C39" s="31"/>
      <c r="D39" s="25">
        <v>20000</v>
      </c>
      <c r="E39" s="25">
        <v>1000</v>
      </c>
      <c r="F39" s="26">
        <f>D39*E39*0.0001</f>
        <v>2000</v>
      </c>
      <c r="G39" s="23" t="s">
        <v>620</v>
      </c>
    </row>
    <row r="40" s="1" customFormat="1" ht="24" customHeight="1" spans="1:7">
      <c r="A40" s="9">
        <v>4.2</v>
      </c>
      <c r="B40" s="30" t="s">
        <v>621</v>
      </c>
      <c r="C40" s="31"/>
      <c r="D40" s="25">
        <v>30000</v>
      </c>
      <c r="E40" s="25">
        <v>1000</v>
      </c>
      <c r="F40" s="26">
        <f>D40*E40*0.0001</f>
        <v>3000</v>
      </c>
      <c r="G40" s="23" t="s">
        <v>622</v>
      </c>
    </row>
    <row r="41" ht="14.25" spans="1:7">
      <c r="A41" s="18">
        <v>5</v>
      </c>
      <c r="B41" s="19" t="s">
        <v>623</v>
      </c>
      <c r="C41" s="20"/>
      <c r="D41" s="37" t="s">
        <v>624</v>
      </c>
      <c r="E41" s="38"/>
      <c r="F41" s="22">
        <f>(F5+F14+F22+F38)*0.1</f>
        <v>30577.0085</v>
      </c>
      <c r="G41" s="23"/>
    </row>
    <row r="42" ht="14.25" spans="1:7">
      <c r="A42" s="18">
        <v>6</v>
      </c>
      <c r="B42" s="19" t="s">
        <v>625</v>
      </c>
      <c r="C42" s="20"/>
      <c r="D42" s="21"/>
      <c r="E42" s="21"/>
      <c r="F42" s="22">
        <f>+F5+F14+F22+F38+F41</f>
        <v>336347.0935</v>
      </c>
      <c r="G42" s="23"/>
    </row>
    <row r="43" ht="14.25" spans="1:7">
      <c r="A43" s="39" t="s">
        <v>83</v>
      </c>
      <c r="B43" s="40" t="s">
        <v>626</v>
      </c>
      <c r="C43" s="41"/>
      <c r="D43" s="21"/>
      <c r="E43" s="21"/>
      <c r="F43" s="18"/>
      <c r="G43" s="23"/>
    </row>
    <row r="44" ht="14.25" spans="1:7">
      <c r="A44" s="42">
        <v>1</v>
      </c>
      <c r="B44" s="43" t="s">
        <v>627</v>
      </c>
      <c r="C44" s="44"/>
      <c r="D44" s="25">
        <v>2500000</v>
      </c>
      <c r="E44" s="25">
        <v>4.1</v>
      </c>
      <c r="F44" s="45">
        <f>+D44*E44/10000</f>
        <v>1025</v>
      </c>
      <c r="G44" s="46" t="s">
        <v>628</v>
      </c>
    </row>
    <row r="45" ht="14.25" spans="1:7">
      <c r="A45" s="42">
        <v>2</v>
      </c>
      <c r="B45" s="43" t="s">
        <v>629</v>
      </c>
      <c r="C45" s="44"/>
      <c r="D45" s="25">
        <v>2500000</v>
      </c>
      <c r="E45" s="25">
        <v>3.5</v>
      </c>
      <c r="F45" s="45">
        <f t="shared" ref="F45:F53" si="2">+D45*E45/10000</f>
        <v>875</v>
      </c>
      <c r="G45" s="47"/>
    </row>
    <row r="46" ht="14.25" spans="1:7">
      <c r="A46" s="42">
        <v>3</v>
      </c>
      <c r="B46" s="43" t="s">
        <v>630</v>
      </c>
      <c r="C46" s="44"/>
      <c r="D46" s="25">
        <v>2500000</v>
      </c>
      <c r="E46" s="25">
        <v>1.47</v>
      </c>
      <c r="F46" s="45">
        <f t="shared" si="2"/>
        <v>367.5</v>
      </c>
      <c r="G46" s="47"/>
    </row>
    <row r="47" ht="14.25" spans="1:7">
      <c r="A47" s="42">
        <v>4</v>
      </c>
      <c r="B47" s="43" t="s">
        <v>631</v>
      </c>
      <c r="C47" s="44"/>
      <c r="D47" s="25"/>
      <c r="E47" s="25"/>
      <c r="F47" s="45">
        <f>SUM(F48:F52)</f>
        <v>27634.4</v>
      </c>
      <c r="G47" s="47"/>
    </row>
    <row r="48" ht="14.25" spans="1:7">
      <c r="A48" s="42">
        <v>4.1</v>
      </c>
      <c r="B48" s="43" t="s">
        <v>632</v>
      </c>
      <c r="C48" s="44"/>
      <c r="D48" s="25">
        <v>5000000</v>
      </c>
      <c r="E48" s="25">
        <v>4.73</v>
      </c>
      <c r="F48" s="45">
        <f t="shared" si="2"/>
        <v>2365</v>
      </c>
      <c r="G48" s="47"/>
    </row>
    <row r="49" ht="14.25" spans="1:7">
      <c r="A49" s="42">
        <v>4.2</v>
      </c>
      <c r="B49" s="43" t="s">
        <v>633</v>
      </c>
      <c r="C49" s="44"/>
      <c r="D49" s="25">
        <v>6120000</v>
      </c>
      <c r="E49" s="25">
        <f>28*0.4</f>
        <v>11.2</v>
      </c>
      <c r="F49" s="45">
        <f t="shared" si="2"/>
        <v>6854.4</v>
      </c>
      <c r="G49" s="47"/>
    </row>
    <row r="50" ht="14.25" spans="1:7">
      <c r="A50" s="42">
        <v>4.3</v>
      </c>
      <c r="B50" s="43" t="s">
        <v>634</v>
      </c>
      <c r="C50" s="44"/>
      <c r="D50" s="25">
        <v>8625000</v>
      </c>
      <c r="E50" s="25">
        <f>11*0.4</f>
        <v>4.4</v>
      </c>
      <c r="F50" s="45">
        <f t="shared" si="2"/>
        <v>3795</v>
      </c>
      <c r="G50" s="47"/>
    </row>
    <row r="51" ht="14.25" spans="1:7">
      <c r="A51" s="42">
        <v>4.4</v>
      </c>
      <c r="B51" s="43" t="s">
        <v>635</v>
      </c>
      <c r="C51" s="44"/>
      <c r="D51" s="25">
        <v>13000000</v>
      </c>
      <c r="E51" s="25">
        <f>6*0.4+7</f>
        <v>9.4</v>
      </c>
      <c r="F51" s="45">
        <f t="shared" si="2"/>
        <v>12220</v>
      </c>
      <c r="G51" s="47"/>
    </row>
    <row r="52" ht="14.25" spans="1:7">
      <c r="A52" s="42">
        <v>4.5</v>
      </c>
      <c r="B52" s="43" t="s">
        <v>636</v>
      </c>
      <c r="C52" s="44"/>
      <c r="D52" s="25">
        <v>20000000</v>
      </c>
      <c r="E52" s="25">
        <f>3*0.4</f>
        <v>1.2</v>
      </c>
      <c r="F52" s="45">
        <f t="shared" si="2"/>
        <v>2400</v>
      </c>
      <c r="G52" s="47"/>
    </row>
    <row r="53" ht="14.25" spans="1:7">
      <c r="A53" s="42">
        <v>5</v>
      </c>
      <c r="B53" s="43" t="s">
        <v>637</v>
      </c>
      <c r="C53" s="44"/>
      <c r="D53" s="25">
        <v>3000000</v>
      </c>
      <c r="E53" s="25">
        <v>6.19</v>
      </c>
      <c r="F53" s="45">
        <f t="shared" si="2"/>
        <v>1857</v>
      </c>
      <c r="G53" s="48"/>
    </row>
    <row r="54" ht="14.25" spans="1:7">
      <c r="A54" s="39">
        <v>6</v>
      </c>
      <c r="B54" s="40" t="s">
        <v>638</v>
      </c>
      <c r="C54" s="41"/>
      <c r="D54" s="49"/>
      <c r="E54" s="50"/>
      <c r="F54" s="51">
        <f>SUM(F44:F47,F53)</f>
        <v>31758.9</v>
      </c>
      <c r="G54" s="52"/>
    </row>
    <row r="55" ht="14.25" spans="1:7">
      <c r="A55" s="39" t="s">
        <v>85</v>
      </c>
      <c r="B55" s="40" t="s">
        <v>639</v>
      </c>
      <c r="C55" s="41"/>
      <c r="D55" s="21"/>
      <c r="E55" s="21"/>
      <c r="F55" s="18"/>
      <c r="G55" s="23"/>
    </row>
    <row r="56" ht="14.25" spans="1:7">
      <c r="A56" s="42">
        <v>1</v>
      </c>
      <c r="B56" s="43" t="s">
        <v>640</v>
      </c>
      <c r="C56" s="44"/>
      <c r="D56" s="25"/>
      <c r="E56" s="25"/>
      <c r="F56" s="45">
        <v>0</v>
      </c>
      <c r="G56" s="53" t="s">
        <v>641</v>
      </c>
    </row>
    <row r="57" ht="14.25" spans="1:7">
      <c r="A57" s="42">
        <v>2</v>
      </c>
      <c r="B57" s="43" t="s">
        <v>642</v>
      </c>
      <c r="C57" s="44"/>
      <c r="D57" s="25"/>
      <c r="E57" s="25"/>
      <c r="F57" s="45">
        <v>0</v>
      </c>
      <c r="G57" s="54"/>
    </row>
    <row r="58" ht="14.25" spans="1:7">
      <c r="A58" s="42">
        <v>3</v>
      </c>
      <c r="B58" s="43" t="s">
        <v>643</v>
      </c>
      <c r="C58" s="44"/>
      <c r="D58" s="25"/>
      <c r="E58" s="25"/>
      <c r="F58" s="45">
        <v>0</v>
      </c>
      <c r="G58" s="54"/>
    </row>
    <row r="59" ht="14.25" spans="1:7">
      <c r="A59" s="42">
        <v>3.1</v>
      </c>
      <c r="B59" s="43" t="s">
        <v>644</v>
      </c>
      <c r="C59" s="44"/>
      <c r="D59" s="25"/>
      <c r="E59" s="25"/>
      <c r="F59" s="45">
        <v>0</v>
      </c>
      <c r="G59" s="54"/>
    </row>
    <row r="60" ht="14.25" spans="1:7">
      <c r="A60" s="42">
        <v>3.2</v>
      </c>
      <c r="B60" s="43" t="s">
        <v>645</v>
      </c>
      <c r="C60" s="44"/>
      <c r="D60" s="25"/>
      <c r="E60" s="25"/>
      <c r="F60" s="45">
        <v>0</v>
      </c>
      <c r="G60" s="54"/>
    </row>
    <row r="61" ht="14.25" spans="1:7">
      <c r="A61" s="42">
        <v>3.3</v>
      </c>
      <c r="B61" s="43" t="s">
        <v>646</v>
      </c>
      <c r="C61" s="44"/>
      <c r="D61" s="25"/>
      <c r="E61" s="25"/>
      <c r="F61" s="45">
        <v>0</v>
      </c>
      <c r="G61" s="54"/>
    </row>
    <row r="62" ht="14.25" spans="1:7">
      <c r="A62" s="42">
        <v>4</v>
      </c>
      <c r="B62" s="43" t="s">
        <v>647</v>
      </c>
      <c r="C62" s="44"/>
      <c r="D62" s="55"/>
      <c r="E62" s="56"/>
      <c r="F62" s="45">
        <v>0</v>
      </c>
      <c r="G62" s="57"/>
    </row>
    <row r="63" ht="14.25" spans="1:7">
      <c r="A63" s="39">
        <v>5</v>
      </c>
      <c r="B63" s="40" t="s">
        <v>648</v>
      </c>
      <c r="C63" s="41"/>
      <c r="D63" s="49"/>
      <c r="E63" s="50"/>
      <c r="F63" s="51">
        <v>0</v>
      </c>
      <c r="G63" s="52"/>
    </row>
  </sheetData>
  <mergeCells count="63">
    <mergeCell ref="A1:G1"/>
    <mergeCell ref="B4:C4"/>
    <mergeCell ref="B5:C5"/>
    <mergeCell ref="B14:C14"/>
    <mergeCell ref="B21:C21"/>
    <mergeCell ref="B22:C22"/>
    <mergeCell ref="B23:C23"/>
    <mergeCell ref="B38:C38"/>
    <mergeCell ref="B39:C39"/>
    <mergeCell ref="B40:C40"/>
    <mergeCell ref="B41:C41"/>
    <mergeCell ref="D41:E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 ref="B60:C60"/>
    <mergeCell ref="B61:C61"/>
    <mergeCell ref="B62:C62"/>
    <mergeCell ref="B63:C63"/>
    <mergeCell ref="A2:A3"/>
    <mergeCell ref="A6:A7"/>
    <mergeCell ref="A8:A9"/>
    <mergeCell ref="A10:A11"/>
    <mergeCell ref="A12:A13"/>
    <mergeCell ref="A15:A17"/>
    <mergeCell ref="A18:A20"/>
    <mergeCell ref="A24:A27"/>
    <mergeCell ref="A28:A29"/>
    <mergeCell ref="A30:A31"/>
    <mergeCell ref="A32:A34"/>
    <mergeCell ref="A36:A37"/>
    <mergeCell ref="B6:B7"/>
    <mergeCell ref="B8:B9"/>
    <mergeCell ref="B10:B11"/>
    <mergeCell ref="B12:B13"/>
    <mergeCell ref="B15:B17"/>
    <mergeCell ref="B18:B20"/>
    <mergeCell ref="B24:B27"/>
    <mergeCell ref="B28:B29"/>
    <mergeCell ref="B30:B31"/>
    <mergeCell ref="B32:B34"/>
    <mergeCell ref="B36:B37"/>
    <mergeCell ref="D2:D3"/>
    <mergeCell ref="E2:E3"/>
    <mergeCell ref="G2:G3"/>
    <mergeCell ref="G44:G53"/>
    <mergeCell ref="G56:G62"/>
    <mergeCell ref="B2:C3"/>
  </mergeCells>
  <pageMargins left="0.707638888888889" right="0.707638888888889" top="0.747916666666667" bottom="0.747916666666667" header="0.313888888888889" footer="0.313888888888889"/>
  <pageSetup paperSize="9" scale="88" fitToHeight="10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61"/>
  <sheetViews>
    <sheetView topLeftCell="A4" workbookViewId="0">
      <selection activeCell="K58" sqref="K58"/>
    </sheetView>
  </sheetViews>
  <sheetFormatPr defaultColWidth="9" defaultRowHeight="14.25"/>
  <cols>
    <col min="1" max="1" width="6.375" style="431" customWidth="1"/>
    <col min="2" max="2" width="20.125" style="432" customWidth="1"/>
    <col min="3" max="3" width="16" style="431" customWidth="1"/>
    <col min="4" max="4" width="13.625" style="431" customWidth="1"/>
    <col min="5" max="9" width="11.75" style="431" customWidth="1"/>
    <col min="10" max="10" width="9" style="431"/>
    <col min="11" max="11" width="11.25" style="431" customWidth="1"/>
    <col min="12" max="12" width="9" style="431"/>
    <col min="13" max="13" width="9.5" style="431" customWidth="1"/>
    <col min="14" max="16384" width="9" style="431"/>
  </cols>
  <sheetData>
    <row r="1" ht="28.5" customHeight="1" spans="1:9">
      <c r="A1" s="433" t="s">
        <v>0</v>
      </c>
      <c r="B1" s="433"/>
      <c r="C1" s="433"/>
      <c r="D1" s="433"/>
      <c r="E1" s="433"/>
      <c r="F1" s="433"/>
      <c r="G1" s="433"/>
      <c r="H1" s="433"/>
      <c r="I1" s="433"/>
    </row>
    <row r="2" s="428" customFormat="1" ht="19.9" customHeight="1" spans="1:9">
      <c r="A2" s="434" t="s">
        <v>1</v>
      </c>
      <c r="B2" s="434" t="s">
        <v>2</v>
      </c>
      <c r="C2" s="434" t="s">
        <v>3</v>
      </c>
      <c r="D2" s="434" t="s">
        <v>4</v>
      </c>
      <c r="E2" s="434" t="s">
        <v>5</v>
      </c>
      <c r="F2" s="434"/>
      <c r="G2" s="434"/>
      <c r="H2" s="434"/>
      <c r="I2" s="434"/>
    </row>
    <row r="3" s="428" customFormat="1" ht="19.9" customHeight="1" spans="1:9">
      <c r="A3" s="434"/>
      <c r="B3" s="434"/>
      <c r="C3" s="434"/>
      <c r="D3" s="434"/>
      <c r="E3" s="434" t="s">
        <v>6</v>
      </c>
      <c r="F3" s="434" t="s">
        <v>7</v>
      </c>
      <c r="G3" s="434" t="s">
        <v>8</v>
      </c>
      <c r="H3" s="434" t="s">
        <v>9</v>
      </c>
      <c r="I3" s="434" t="s">
        <v>10</v>
      </c>
    </row>
    <row r="4" s="429" customFormat="1" ht="24" customHeight="1" spans="1:9">
      <c r="A4" s="638" t="s">
        <v>11</v>
      </c>
      <c r="B4" s="434" t="s">
        <v>12</v>
      </c>
      <c r="C4" s="329" t="s">
        <v>4</v>
      </c>
      <c r="D4" s="440">
        <f>SUM(E4:I4)</f>
        <v>1330420.73248115</v>
      </c>
      <c r="E4" s="440">
        <f>E8+E32</f>
        <v>331889.934542387</v>
      </c>
      <c r="F4" s="440">
        <f>F8+F32</f>
        <v>300614.579856759</v>
      </c>
      <c r="G4" s="440">
        <f>G8+G32</f>
        <v>311681.566848332</v>
      </c>
      <c r="H4" s="440">
        <f>H8+H32</f>
        <v>190642.520871505</v>
      </c>
      <c r="I4" s="440">
        <f>I8+I32</f>
        <v>195592.130362168</v>
      </c>
    </row>
    <row r="5" s="429" customFormat="1" ht="24" customHeight="1" spans="1:9">
      <c r="A5" s="434"/>
      <c r="B5" s="434"/>
      <c r="C5" s="329" t="s">
        <v>13</v>
      </c>
      <c r="D5" s="443">
        <f t="shared" ref="D5:D8" si="0">SUM(E5:I5)</f>
        <v>347765.455273828</v>
      </c>
      <c r="E5" s="443">
        <f t="shared" ref="E5:I7" si="1">E9+E33</f>
        <v>79378.2776318811</v>
      </c>
      <c r="F5" s="443">
        <f t="shared" si="1"/>
        <v>74732.0504248434</v>
      </c>
      <c r="G5" s="443">
        <f t="shared" si="1"/>
        <v>77487.9010614056</v>
      </c>
      <c r="H5" s="443">
        <f t="shared" si="1"/>
        <v>57149.6312287678</v>
      </c>
      <c r="I5" s="443">
        <f t="shared" si="1"/>
        <v>59017.5949269301</v>
      </c>
    </row>
    <row r="6" s="429" customFormat="1" ht="24" customHeight="1" spans="1:9">
      <c r="A6" s="434"/>
      <c r="B6" s="434"/>
      <c r="C6" s="329" t="s">
        <v>14</v>
      </c>
      <c r="D6" s="443">
        <f t="shared" si="0"/>
        <v>264243.418791064</v>
      </c>
      <c r="E6" s="443">
        <f t="shared" si="1"/>
        <v>69845.511460255</v>
      </c>
      <c r="F6" s="443">
        <f t="shared" si="1"/>
        <v>61821.4965991649</v>
      </c>
      <c r="G6" s="443">
        <f t="shared" si="1"/>
        <v>64095.0729416748</v>
      </c>
      <c r="H6" s="443">
        <f t="shared" si="1"/>
        <v>34240.6688949847</v>
      </c>
      <c r="I6" s="443">
        <f t="shared" si="1"/>
        <v>34240.6688949847</v>
      </c>
    </row>
    <row r="7" s="429" customFormat="1" ht="24" customHeight="1" spans="1:9">
      <c r="A7" s="434"/>
      <c r="B7" s="434"/>
      <c r="C7" s="329" t="s">
        <v>15</v>
      </c>
      <c r="D7" s="443">
        <f t="shared" si="0"/>
        <v>718411.85841626</v>
      </c>
      <c r="E7" s="443">
        <f t="shared" si="1"/>
        <v>182666.14545025</v>
      </c>
      <c r="F7" s="443">
        <f t="shared" si="1"/>
        <v>164061.032832751</v>
      </c>
      <c r="G7" s="443">
        <f t="shared" si="1"/>
        <v>170098.592845252</v>
      </c>
      <c r="H7" s="443">
        <f t="shared" si="1"/>
        <v>99252.2207477528</v>
      </c>
      <c r="I7" s="443">
        <f t="shared" si="1"/>
        <v>102333.866540254</v>
      </c>
    </row>
    <row r="8" ht="24" hidden="1" customHeight="1" spans="1:9">
      <c r="A8" s="638" t="s">
        <v>16</v>
      </c>
      <c r="B8" s="625" t="s">
        <v>36</v>
      </c>
      <c r="C8" s="329" t="s">
        <v>4</v>
      </c>
      <c r="D8" s="440">
        <f t="shared" si="0"/>
        <v>1195661.268619</v>
      </c>
      <c r="E8" s="440">
        <f>E16+E20+E24+E28</f>
        <v>325509.9397238</v>
      </c>
      <c r="F8" s="440">
        <f t="shared" ref="E8:I11" si="2">F16+F20+F24+F28</f>
        <v>282321.0967238</v>
      </c>
      <c r="G8" s="440">
        <f t="shared" si="2"/>
        <v>282321.0967238</v>
      </c>
      <c r="H8" s="440">
        <f t="shared" si="2"/>
        <v>152754.5677238</v>
      </c>
      <c r="I8" s="440">
        <f t="shared" si="2"/>
        <v>152754.5677238</v>
      </c>
    </row>
    <row r="9" ht="24" hidden="1" customHeight="1" spans="1:11">
      <c r="A9" s="434"/>
      <c r="B9" s="625"/>
      <c r="C9" s="329" t="s">
        <v>13</v>
      </c>
      <c r="D9" s="443">
        <f t="shared" ref="D9:D11" si="3">SUM(E9:I9)</f>
        <v>313761.265786</v>
      </c>
      <c r="E9" s="443">
        <f>E17+E21+E25+E29</f>
        <v>77852.3711572</v>
      </c>
      <c r="F9" s="443">
        <f t="shared" si="2"/>
        <v>70302.3121572</v>
      </c>
      <c r="G9" s="443">
        <f t="shared" si="2"/>
        <v>70302.3121572</v>
      </c>
      <c r="H9" s="443">
        <f t="shared" si="2"/>
        <v>47652.1351572</v>
      </c>
      <c r="I9" s="443">
        <f t="shared" si="2"/>
        <v>47652.1351572</v>
      </c>
      <c r="K9" s="468">
        <f>D9/D8</f>
        <v>0.262416517136494</v>
      </c>
    </row>
    <row r="10" ht="24" hidden="1" customHeight="1" spans="1:11">
      <c r="A10" s="434"/>
      <c r="B10" s="625"/>
      <c r="C10" s="329" t="s">
        <v>14</v>
      </c>
      <c r="D10" s="443">
        <f t="shared" si="3"/>
        <v>237479.687463</v>
      </c>
      <c r="E10" s="443">
        <f t="shared" si="2"/>
        <v>68502.8554926</v>
      </c>
      <c r="F10" s="443">
        <f t="shared" si="2"/>
        <v>57999.3964926</v>
      </c>
      <c r="G10" s="443">
        <f t="shared" si="2"/>
        <v>57999.3964926</v>
      </c>
      <c r="H10" s="443">
        <f t="shared" si="2"/>
        <v>26489.0194926</v>
      </c>
      <c r="I10" s="443">
        <f t="shared" si="2"/>
        <v>26489.0194926</v>
      </c>
      <c r="K10" s="468">
        <f>D10/D8</f>
        <v>0.198617864185976</v>
      </c>
    </row>
    <row r="11" ht="24" hidden="1" customHeight="1" spans="1:11">
      <c r="A11" s="434"/>
      <c r="B11" s="625"/>
      <c r="C11" s="329" t="s">
        <v>15</v>
      </c>
      <c r="D11" s="443">
        <f t="shared" si="3"/>
        <v>644420.31537</v>
      </c>
      <c r="E11" s="443">
        <f t="shared" si="2"/>
        <v>179154.713074</v>
      </c>
      <c r="F11" s="443">
        <f t="shared" si="2"/>
        <v>154019.388074</v>
      </c>
      <c r="G11" s="443">
        <f t="shared" si="2"/>
        <v>154019.388074</v>
      </c>
      <c r="H11" s="443">
        <f t="shared" si="2"/>
        <v>78613.413074</v>
      </c>
      <c r="I11" s="443">
        <f t="shared" si="2"/>
        <v>78613.413074</v>
      </c>
      <c r="K11" s="468">
        <f>D11/D8</f>
        <v>0.53896561867753</v>
      </c>
    </row>
    <row r="12" ht="24" hidden="1" customHeight="1" spans="1:9">
      <c r="A12" s="639" t="s">
        <v>18</v>
      </c>
      <c r="B12" s="434" t="s">
        <v>19</v>
      </c>
      <c r="C12" s="329" t="s">
        <v>4</v>
      </c>
      <c r="D12" s="440">
        <f>SUM(D13:D15)</f>
        <v>720442.73</v>
      </c>
      <c r="E12" s="440">
        <f>SUM(E13:E15)</f>
        <v>144088.546</v>
      </c>
      <c r="F12" s="440">
        <f t="shared" ref="F12:I12" si="4">SUM(F13:F15)</f>
        <v>144088.546</v>
      </c>
      <c r="G12" s="440">
        <f t="shared" si="4"/>
        <v>144088.546</v>
      </c>
      <c r="H12" s="440">
        <f t="shared" si="4"/>
        <v>144088.546</v>
      </c>
      <c r="I12" s="440">
        <f t="shared" si="4"/>
        <v>144088.546</v>
      </c>
    </row>
    <row r="13" ht="24" hidden="1" customHeight="1" spans="1:9">
      <c r="A13" s="626"/>
      <c r="B13" s="434"/>
      <c r="C13" s="329" t="s">
        <v>13</v>
      </c>
      <c r="D13" s="443">
        <v>227454.12</v>
      </c>
      <c r="E13" s="443">
        <f>D13*0.2</f>
        <v>45490.824</v>
      </c>
      <c r="F13" s="443">
        <f>D13*0.2</f>
        <v>45490.824</v>
      </c>
      <c r="G13" s="443">
        <f>D13*0.2</f>
        <v>45490.824</v>
      </c>
      <c r="H13" s="443">
        <f>D13*0.2</f>
        <v>45490.824</v>
      </c>
      <c r="I13" s="443">
        <f>D13*0.2</f>
        <v>45490.824</v>
      </c>
    </row>
    <row r="14" ht="24" hidden="1" customHeight="1" spans="1:9">
      <c r="A14" s="626"/>
      <c r="B14" s="434"/>
      <c r="C14" s="329" t="s">
        <v>14</v>
      </c>
      <c r="D14" s="443">
        <f>'项目建设投资估算表 '!O5</f>
        <v>123564.21</v>
      </c>
      <c r="E14" s="443">
        <f>D14*0.2</f>
        <v>24712.842</v>
      </c>
      <c r="F14" s="443">
        <f>D14*0.2</f>
        <v>24712.842</v>
      </c>
      <c r="G14" s="443">
        <f>D14*0.2</f>
        <v>24712.842</v>
      </c>
      <c r="H14" s="443">
        <f>D14*0.2</f>
        <v>24712.842</v>
      </c>
      <c r="I14" s="443">
        <f>D14*0.2</f>
        <v>24712.842</v>
      </c>
    </row>
    <row r="15" ht="24" hidden="1" customHeight="1" spans="1:9">
      <c r="A15" s="626"/>
      <c r="B15" s="434"/>
      <c r="C15" s="329" t="s">
        <v>15</v>
      </c>
      <c r="D15" s="443">
        <f>'项目建设投资估算表 '!U5</f>
        <v>369424.4</v>
      </c>
      <c r="E15" s="443">
        <f>D15*0.2</f>
        <v>73884.88</v>
      </c>
      <c r="F15" s="443">
        <f>D15*0.2</f>
        <v>73884.88</v>
      </c>
      <c r="G15" s="443">
        <f>D15*0.2</f>
        <v>73884.88</v>
      </c>
      <c r="H15" s="443">
        <f>D15*0.2</f>
        <v>73884.88</v>
      </c>
      <c r="I15" s="443">
        <f>D15*0.2</f>
        <v>73884.88</v>
      </c>
    </row>
    <row r="16" ht="24" hidden="1" customHeight="1" spans="1:9">
      <c r="A16" s="626"/>
      <c r="B16" s="434" t="s">
        <v>37</v>
      </c>
      <c r="C16" s="329" t="s">
        <v>4</v>
      </c>
      <c r="D16" s="627">
        <f>SUM(D17:D19)</f>
        <v>644291.933439</v>
      </c>
      <c r="E16" s="627">
        <f t="shared" ref="E16:I16" si="5">SUM(E17:E19)</f>
        <v>128858.3866878</v>
      </c>
      <c r="F16" s="627">
        <f t="shared" si="5"/>
        <v>128858.3866878</v>
      </c>
      <c r="G16" s="627">
        <f t="shared" si="5"/>
        <v>128858.3866878</v>
      </c>
      <c r="H16" s="627">
        <f t="shared" si="5"/>
        <v>128858.3866878</v>
      </c>
      <c r="I16" s="627">
        <f t="shared" si="5"/>
        <v>128858.3866878</v>
      </c>
    </row>
    <row r="17" ht="24" hidden="1" customHeight="1" spans="1:15">
      <c r="A17" s="626"/>
      <c r="B17" s="434"/>
      <c r="C17" s="329" t="s">
        <v>38</v>
      </c>
      <c r="D17" s="443">
        <f>SUM(E17:I17)</f>
        <v>203412.219516</v>
      </c>
      <c r="E17" s="443">
        <f t="shared" ref="E17:I19" si="6">E13*(1-10.57%)</f>
        <v>40682.4439032</v>
      </c>
      <c r="F17" s="443">
        <f t="shared" si="6"/>
        <v>40682.4439032</v>
      </c>
      <c r="G17" s="443">
        <f t="shared" si="6"/>
        <v>40682.4439032</v>
      </c>
      <c r="H17" s="443">
        <f t="shared" si="6"/>
        <v>40682.4439032</v>
      </c>
      <c r="I17" s="443">
        <f t="shared" si="6"/>
        <v>40682.4439032</v>
      </c>
      <c r="K17" s="468"/>
      <c r="L17" s="468"/>
      <c r="M17" s="468"/>
      <c r="N17" s="468"/>
      <c r="O17" s="468"/>
    </row>
    <row r="18" ht="24" hidden="1" customHeight="1" spans="1:15">
      <c r="A18" s="626"/>
      <c r="B18" s="434"/>
      <c r="C18" s="329" t="s">
        <v>39</v>
      </c>
      <c r="D18" s="443">
        <f t="shared" ref="D18:D19" si="7">SUM(E18:I18)</f>
        <v>110503.473003</v>
      </c>
      <c r="E18" s="443">
        <f t="shared" si="6"/>
        <v>22100.6946006</v>
      </c>
      <c r="F18" s="443">
        <f t="shared" si="6"/>
        <v>22100.6946006</v>
      </c>
      <c r="G18" s="443">
        <f t="shared" si="6"/>
        <v>22100.6946006</v>
      </c>
      <c r="H18" s="443">
        <f t="shared" si="6"/>
        <v>22100.6946006</v>
      </c>
      <c r="I18" s="443">
        <f t="shared" si="6"/>
        <v>22100.6946006</v>
      </c>
      <c r="K18" s="468"/>
      <c r="L18" s="468"/>
      <c r="M18" s="468"/>
      <c r="N18" s="468"/>
      <c r="O18" s="468"/>
    </row>
    <row r="19" ht="24" hidden="1" customHeight="1" spans="1:15">
      <c r="A19" s="626"/>
      <c r="B19" s="434"/>
      <c r="C19" s="329" t="s">
        <v>40</v>
      </c>
      <c r="D19" s="443">
        <f t="shared" si="7"/>
        <v>330376.24092</v>
      </c>
      <c r="E19" s="443">
        <f t="shared" si="6"/>
        <v>66075.248184</v>
      </c>
      <c r="F19" s="443">
        <f t="shared" si="6"/>
        <v>66075.248184</v>
      </c>
      <c r="G19" s="443">
        <f t="shared" si="6"/>
        <v>66075.248184</v>
      </c>
      <c r="H19" s="443">
        <f t="shared" si="6"/>
        <v>66075.248184</v>
      </c>
      <c r="I19" s="443">
        <f t="shared" si="6"/>
        <v>66075.248184</v>
      </c>
      <c r="K19" s="468"/>
      <c r="L19" s="468"/>
      <c r="M19" s="468"/>
      <c r="N19" s="468"/>
      <c r="O19" s="468"/>
    </row>
    <row r="20" ht="24" hidden="1" customHeight="1" spans="1:9">
      <c r="A20" s="639" t="s">
        <v>21</v>
      </c>
      <c r="B20" s="625" t="s">
        <v>22</v>
      </c>
      <c r="C20" s="454" t="s">
        <v>4</v>
      </c>
      <c r="D20" s="440">
        <f>SUM(D21:D23)</f>
        <v>79484.5416</v>
      </c>
      <c r="E20" s="440">
        <f>SUM(E21:E23)</f>
        <v>15896.90832</v>
      </c>
      <c r="F20" s="440">
        <f t="shared" ref="F20:I20" si="8">SUM(F21:F23)</f>
        <v>15896.90832</v>
      </c>
      <c r="G20" s="440">
        <f t="shared" si="8"/>
        <v>15896.90832</v>
      </c>
      <c r="H20" s="440">
        <f t="shared" si="8"/>
        <v>15896.90832</v>
      </c>
      <c r="I20" s="440">
        <f t="shared" si="8"/>
        <v>15896.90832</v>
      </c>
    </row>
    <row r="21" ht="24" hidden="1" customHeight="1" spans="1:9">
      <c r="A21" s="626"/>
      <c r="B21" s="625"/>
      <c r="C21" s="329" t="s">
        <v>13</v>
      </c>
      <c r="D21" s="443">
        <f>'项目建设投资估算表 '!I16-'项目建设投资估算表 '!I17</f>
        <v>22357.8574</v>
      </c>
      <c r="E21" s="443">
        <f>D21*0.2</f>
        <v>4471.57148</v>
      </c>
      <c r="F21" s="443">
        <f>D21*0.2</f>
        <v>4471.57148</v>
      </c>
      <c r="G21" s="443">
        <f>D21*0.2</f>
        <v>4471.57148</v>
      </c>
      <c r="H21" s="443">
        <f>D21*0.2</f>
        <v>4471.57148</v>
      </c>
      <c r="I21" s="443">
        <f>D21*0.2</f>
        <v>4471.57148</v>
      </c>
    </row>
    <row r="22" ht="24" hidden="1" customHeight="1" spans="1:9">
      <c r="A22" s="626"/>
      <c r="B22" s="625"/>
      <c r="C22" s="329" t="s">
        <v>14</v>
      </c>
      <c r="D22" s="443">
        <f>'项目建设投资估算表 '!O16-'项目建设投资估算表 '!O17</f>
        <v>15012.7752</v>
      </c>
      <c r="E22" s="443">
        <f t="shared" ref="E22:E23" si="9">D22*0.2</f>
        <v>3002.55504</v>
      </c>
      <c r="F22" s="443">
        <f t="shared" ref="F22:F23" si="10">D22*0.2</f>
        <v>3002.55504</v>
      </c>
      <c r="G22" s="443">
        <f t="shared" ref="G22:G23" si="11">D22*0.2</f>
        <v>3002.55504</v>
      </c>
      <c r="H22" s="443">
        <f t="shared" ref="H22:H23" si="12">D22*0.2</f>
        <v>3002.55504</v>
      </c>
      <c r="I22" s="443">
        <f t="shared" ref="I22:I23" si="13">D22*0.2</f>
        <v>3002.55504</v>
      </c>
    </row>
    <row r="23" ht="24" hidden="1" customHeight="1" spans="1:9">
      <c r="A23" s="626"/>
      <c r="B23" s="625"/>
      <c r="C23" s="329" t="s">
        <v>15</v>
      </c>
      <c r="D23" s="443">
        <f>'项目建设投资估算表 '!U16-'项目建设投资估算表 '!U17</f>
        <v>42113.909</v>
      </c>
      <c r="E23" s="443">
        <f t="shared" si="9"/>
        <v>8422.78180000001</v>
      </c>
      <c r="F23" s="443">
        <f t="shared" si="10"/>
        <v>8422.78180000001</v>
      </c>
      <c r="G23" s="443">
        <f t="shared" si="11"/>
        <v>8422.78180000001</v>
      </c>
      <c r="H23" s="443">
        <f t="shared" si="12"/>
        <v>8422.78180000001</v>
      </c>
      <c r="I23" s="443">
        <f t="shared" si="13"/>
        <v>8422.78180000001</v>
      </c>
    </row>
    <row r="24" ht="24" hidden="1" customHeight="1" spans="1:9">
      <c r="A24" s="626" t="s">
        <v>23</v>
      </c>
      <c r="B24" s="625" t="s">
        <v>24</v>
      </c>
      <c r="C24" s="454" t="s">
        <v>4</v>
      </c>
      <c r="D24" s="440">
        <f>SUM(D25:D27)</f>
        <v>431888.43</v>
      </c>
      <c r="E24" s="440">
        <f t="shared" ref="E24:G24" si="14">SUM(E25:E27)</f>
        <v>172755.372</v>
      </c>
      <c r="F24" s="440">
        <f t="shared" si="14"/>
        <v>129566.529</v>
      </c>
      <c r="G24" s="440">
        <f t="shared" si="14"/>
        <v>129566.529</v>
      </c>
      <c r="H24" s="440"/>
      <c r="I24" s="440"/>
    </row>
    <row r="25" ht="24" hidden="1" customHeight="1" spans="1:9">
      <c r="A25" s="626"/>
      <c r="B25" s="625"/>
      <c r="C25" s="329" t="s">
        <v>13</v>
      </c>
      <c r="D25" s="443">
        <v>75500.59</v>
      </c>
      <c r="E25" s="443">
        <f>D25*0.4</f>
        <v>30200.236</v>
      </c>
      <c r="F25" s="443">
        <f>D25*0.3</f>
        <v>22650.177</v>
      </c>
      <c r="G25" s="443">
        <f>D25*0.3</f>
        <v>22650.177</v>
      </c>
      <c r="H25" s="443"/>
      <c r="I25" s="443"/>
    </row>
    <row r="26" ht="24" hidden="1" customHeight="1" spans="1:9">
      <c r="A26" s="626"/>
      <c r="B26" s="625"/>
      <c r="C26" s="329" t="s">
        <v>14</v>
      </c>
      <c r="D26" s="443">
        <f>'项目建设投资估算表 '!O17</f>
        <v>105034.59</v>
      </c>
      <c r="E26" s="443">
        <f>D26*0.4</f>
        <v>42013.836</v>
      </c>
      <c r="F26" s="443">
        <f>D26*0.3</f>
        <v>31510.377</v>
      </c>
      <c r="G26" s="443">
        <f>D26*0.3</f>
        <v>31510.377</v>
      </c>
      <c r="H26" s="443"/>
      <c r="I26" s="443"/>
    </row>
    <row r="27" ht="24" hidden="1" customHeight="1" spans="1:9">
      <c r="A27" s="626"/>
      <c r="B27" s="625"/>
      <c r="C27" s="329" t="s">
        <v>15</v>
      </c>
      <c r="D27" s="443">
        <f>'项目建设投资估算表 '!U17</f>
        <v>251353.25</v>
      </c>
      <c r="E27" s="443">
        <f>D27*0.4</f>
        <v>100541.3</v>
      </c>
      <c r="F27" s="443">
        <f>D27*0.3</f>
        <v>75405.975</v>
      </c>
      <c r="G27" s="443">
        <f>D27*0.3</f>
        <v>75405.975</v>
      </c>
      <c r="H27" s="443"/>
      <c r="I27" s="443"/>
    </row>
    <row r="28" ht="24" hidden="1" customHeight="1" spans="1:9">
      <c r="A28" s="639" t="s">
        <v>25</v>
      </c>
      <c r="B28" s="434" t="s">
        <v>26</v>
      </c>
      <c r="C28" s="329" t="s">
        <v>4</v>
      </c>
      <c r="D28" s="440">
        <f>SUM(D29:D31)</f>
        <v>39996.36358</v>
      </c>
      <c r="E28" s="440">
        <f t="shared" ref="E28:I28" si="15">SUM(E29:E31)</f>
        <v>7999.272716</v>
      </c>
      <c r="F28" s="440">
        <f t="shared" si="15"/>
        <v>7999.272716</v>
      </c>
      <c r="G28" s="440">
        <f t="shared" si="15"/>
        <v>7999.272716</v>
      </c>
      <c r="H28" s="440">
        <f t="shared" si="15"/>
        <v>7999.272716</v>
      </c>
      <c r="I28" s="440">
        <f t="shared" si="15"/>
        <v>7999.272716</v>
      </c>
    </row>
    <row r="29" ht="24" hidden="1" customHeight="1" spans="1:9">
      <c r="A29" s="626"/>
      <c r="B29" s="434"/>
      <c r="C29" s="329" t="s">
        <v>13</v>
      </c>
      <c r="D29" s="443">
        <f>'项目建设投资估算表 '!I53</f>
        <v>12490.59887</v>
      </c>
      <c r="E29" s="443">
        <f>D29*0.2</f>
        <v>2498.119774</v>
      </c>
      <c r="F29" s="443">
        <f>D29*0.2</f>
        <v>2498.119774</v>
      </c>
      <c r="G29" s="443">
        <f>D29*0.2</f>
        <v>2498.119774</v>
      </c>
      <c r="H29" s="443">
        <f>D29*0.2</f>
        <v>2498.119774</v>
      </c>
      <c r="I29" s="443">
        <f>D29*0.2</f>
        <v>2498.119774</v>
      </c>
    </row>
    <row r="30" ht="24" hidden="1" customHeight="1" spans="1:9">
      <c r="A30" s="626"/>
      <c r="B30" s="434"/>
      <c r="C30" s="329" t="s">
        <v>14</v>
      </c>
      <c r="D30" s="443">
        <f>'项目建设投资估算表 '!O53</f>
        <v>6928.84926</v>
      </c>
      <c r="E30" s="443">
        <f t="shared" ref="E30:E31" si="16">D30*0.2</f>
        <v>1385.769852</v>
      </c>
      <c r="F30" s="443">
        <f t="shared" ref="F30:F31" si="17">D30*0.2</f>
        <v>1385.769852</v>
      </c>
      <c r="G30" s="443">
        <f t="shared" ref="G30:G31" si="18">D30*0.2</f>
        <v>1385.769852</v>
      </c>
      <c r="H30" s="443">
        <f t="shared" ref="H30:H31" si="19">D30*0.2</f>
        <v>1385.769852</v>
      </c>
      <c r="I30" s="443">
        <f t="shared" ref="I30:I31" si="20">D30*0.2</f>
        <v>1385.769852</v>
      </c>
    </row>
    <row r="31" ht="24" hidden="1" customHeight="1" spans="1:9">
      <c r="A31" s="626"/>
      <c r="B31" s="434"/>
      <c r="C31" s="329" t="s">
        <v>15</v>
      </c>
      <c r="D31" s="443">
        <f>'项目建设投资估算表 '!U53</f>
        <v>20576.91545</v>
      </c>
      <c r="E31" s="443">
        <f t="shared" si="16"/>
        <v>4115.38309</v>
      </c>
      <c r="F31" s="443">
        <f t="shared" si="17"/>
        <v>4115.38309</v>
      </c>
      <c r="G31" s="443">
        <f t="shared" si="18"/>
        <v>4115.38309</v>
      </c>
      <c r="H31" s="443">
        <f t="shared" si="19"/>
        <v>4115.38309</v>
      </c>
      <c r="I31" s="443">
        <f t="shared" si="20"/>
        <v>4115.38309</v>
      </c>
    </row>
    <row r="32" ht="24" hidden="1" customHeight="1" spans="1:9">
      <c r="A32" s="638" t="s">
        <v>27</v>
      </c>
      <c r="B32" s="434" t="s">
        <v>28</v>
      </c>
      <c r="C32" s="322" t="s">
        <v>4</v>
      </c>
      <c r="D32" s="440">
        <f>SUM(E32:I32)</f>
        <v>134759.463862152</v>
      </c>
      <c r="E32" s="440">
        <f>SUM(E33:E35)</f>
        <v>6379.99481858648</v>
      </c>
      <c r="F32" s="440">
        <f t="shared" ref="F32:I32" si="21">SUM(F33:F35)</f>
        <v>18293.4831329594</v>
      </c>
      <c r="G32" s="440">
        <f t="shared" si="21"/>
        <v>29360.4701245324</v>
      </c>
      <c r="H32" s="440">
        <f t="shared" si="21"/>
        <v>37887.9531477054</v>
      </c>
      <c r="I32" s="440">
        <f t="shared" si="21"/>
        <v>42837.5626383684</v>
      </c>
    </row>
    <row r="33" ht="24" hidden="1" customHeight="1" spans="1:9">
      <c r="A33" s="434"/>
      <c r="B33" s="434"/>
      <c r="C33" s="329" t="s">
        <v>13</v>
      </c>
      <c r="D33" s="443">
        <f>SUM(E33:I33)</f>
        <v>34004.189487828</v>
      </c>
      <c r="E33" s="443">
        <f>'建设期支付利息还本付息计划表  '!E26</f>
        <v>1525.90647468112</v>
      </c>
      <c r="F33" s="443">
        <f>'建设期支付利息还本付息计划表  '!F26</f>
        <v>4429.73826764336</v>
      </c>
      <c r="G33" s="443">
        <f>'建设期支付利息还本付息计划表  '!G26</f>
        <v>7185.5889042056</v>
      </c>
      <c r="H33" s="443">
        <f>'建设期支付利息还本付息计划表  '!H26</f>
        <v>9497.49607156784</v>
      </c>
      <c r="I33" s="443">
        <f>'建设期支付利息还本付息计划表  '!I26</f>
        <v>11365.4597697301</v>
      </c>
    </row>
    <row r="34" ht="24" hidden="1" customHeight="1" spans="1:9">
      <c r="A34" s="434"/>
      <c r="B34" s="434"/>
      <c r="C34" s="329" t="s">
        <v>14</v>
      </c>
      <c r="D34" s="443">
        <f t="shared" ref="D34:D35" si="22">SUM(E34:I34)</f>
        <v>26763.7313280641</v>
      </c>
      <c r="E34" s="443">
        <f>'建设期支付利息还本付息计划表  '!E27</f>
        <v>1342.65596765496</v>
      </c>
      <c r="F34" s="443">
        <f>'建设期支付利息还本付息计划表  '!F27</f>
        <v>3822.10010656488</v>
      </c>
      <c r="G34" s="443">
        <f>'建设期支付利息还本付息计划表  '!G27</f>
        <v>6095.6764490748</v>
      </c>
      <c r="H34" s="443">
        <f>'建设期支付利息还本付息计划表  '!H27</f>
        <v>7751.64940238472</v>
      </c>
      <c r="I34" s="443">
        <f>'建设期支付利息还本付息计划表  '!I27</f>
        <v>7751.64940238472</v>
      </c>
    </row>
    <row r="35" ht="24" hidden="1" customHeight="1" spans="1:9">
      <c r="A35" s="434"/>
      <c r="B35" s="434"/>
      <c r="C35" s="329" t="s">
        <v>15</v>
      </c>
      <c r="D35" s="443">
        <f t="shared" si="22"/>
        <v>73991.54304626</v>
      </c>
      <c r="E35" s="443">
        <f>'建设期支付利息还本付息计划表  '!E28</f>
        <v>3511.4323762504</v>
      </c>
      <c r="F35" s="443">
        <f>'建设期支付利息还本付息计划表  '!F28</f>
        <v>10041.6447587512</v>
      </c>
      <c r="G35" s="443">
        <f>'建设期支付利息还本付息计划表  '!G28</f>
        <v>16079.204771252</v>
      </c>
      <c r="H35" s="443">
        <f>'建设期支付利息还本付息计划表  '!H28</f>
        <v>20638.8076737528</v>
      </c>
      <c r="I35" s="443">
        <f>'建设期支付利息还本付息计划表  '!I28</f>
        <v>23720.4534662536</v>
      </c>
    </row>
    <row r="36" s="429" customFormat="1" ht="24" customHeight="1" spans="1:9">
      <c r="A36" s="434">
        <v>2</v>
      </c>
      <c r="B36" s="434" t="s">
        <v>29</v>
      </c>
      <c r="C36" s="322" t="s">
        <v>4</v>
      </c>
      <c r="D36" s="440">
        <f>D8</f>
        <v>1195661.268619</v>
      </c>
      <c r="E36" s="440">
        <f>E40+E48</f>
        <v>325509.9397238</v>
      </c>
      <c r="F36" s="440">
        <f>F40+F48</f>
        <v>282321.0967238</v>
      </c>
      <c r="G36" s="440">
        <f>G40+G48</f>
        <v>282321.0967238</v>
      </c>
      <c r="H36" s="440">
        <f>H40+H48</f>
        <v>152754.5677238</v>
      </c>
      <c r="I36" s="440">
        <f>I40+I48</f>
        <v>152754.5677238</v>
      </c>
    </row>
    <row r="37" s="429" customFormat="1" ht="24" customHeight="1" spans="1:9">
      <c r="A37" s="434"/>
      <c r="B37" s="434"/>
      <c r="C37" s="329" t="s">
        <v>13</v>
      </c>
      <c r="D37" s="443">
        <f>SUM(E37:I37)</f>
        <v>313761.265786</v>
      </c>
      <c r="E37" s="443">
        <f t="shared" ref="E37:I39" si="23">E41+E49</f>
        <v>77852.3711572</v>
      </c>
      <c r="F37" s="443">
        <f t="shared" si="23"/>
        <v>70302.3121572</v>
      </c>
      <c r="G37" s="443">
        <f t="shared" si="23"/>
        <v>70302.3121572</v>
      </c>
      <c r="H37" s="443">
        <f t="shared" si="23"/>
        <v>47652.1351572</v>
      </c>
      <c r="I37" s="443">
        <f t="shared" si="23"/>
        <v>47652.1351572</v>
      </c>
    </row>
    <row r="38" s="429" customFormat="1" ht="24" customHeight="1" spans="1:9">
      <c r="A38" s="434"/>
      <c r="B38" s="434"/>
      <c r="C38" s="329" t="s">
        <v>14</v>
      </c>
      <c r="D38" s="443">
        <f t="shared" ref="D38:D43" si="24">SUM(E38:I38)</f>
        <v>237479.687463</v>
      </c>
      <c r="E38" s="443">
        <f t="shared" si="23"/>
        <v>68502.8554926</v>
      </c>
      <c r="F38" s="443">
        <f t="shared" si="23"/>
        <v>57999.3964926</v>
      </c>
      <c r="G38" s="443">
        <f t="shared" si="23"/>
        <v>57999.3964926</v>
      </c>
      <c r="H38" s="443">
        <f t="shared" si="23"/>
        <v>26489.0194926</v>
      </c>
      <c r="I38" s="443">
        <f t="shared" si="23"/>
        <v>26489.0194926</v>
      </c>
    </row>
    <row r="39" s="429" customFormat="1" ht="24" customHeight="1" spans="1:9">
      <c r="A39" s="434"/>
      <c r="B39" s="434"/>
      <c r="C39" s="329" t="s">
        <v>15</v>
      </c>
      <c r="D39" s="443">
        <f t="shared" si="24"/>
        <v>644420.31537</v>
      </c>
      <c r="E39" s="443">
        <f t="shared" si="23"/>
        <v>179154.713074</v>
      </c>
      <c r="F39" s="443">
        <f t="shared" si="23"/>
        <v>154019.388074</v>
      </c>
      <c r="G39" s="443">
        <f t="shared" si="23"/>
        <v>154019.388074</v>
      </c>
      <c r="H39" s="443">
        <f t="shared" si="23"/>
        <v>78613.413074</v>
      </c>
      <c r="I39" s="443">
        <f t="shared" si="23"/>
        <v>78613.413074</v>
      </c>
    </row>
    <row r="40" ht="24" customHeight="1" spans="1:9">
      <c r="A40" s="628">
        <v>2.1</v>
      </c>
      <c r="B40" s="434" t="s">
        <v>30</v>
      </c>
      <c r="C40" s="322" t="s">
        <v>4</v>
      </c>
      <c r="D40" s="440">
        <f t="shared" si="24"/>
        <v>239132.2537238</v>
      </c>
      <c r="E40" s="440">
        <f>SUM(E44:E44)</f>
        <v>65101.98794476</v>
      </c>
      <c r="F40" s="440">
        <f>SUM(F44:F44)</f>
        <v>56464.21934476</v>
      </c>
      <c r="G40" s="440">
        <f>SUM(G44:G44)</f>
        <v>56464.21934476</v>
      </c>
      <c r="H40" s="440">
        <f>SUM(H44:H44)</f>
        <v>30550.91354476</v>
      </c>
      <c r="I40" s="440">
        <f>SUM(I44:I44)</f>
        <v>30550.91354476</v>
      </c>
    </row>
    <row r="41" ht="24" customHeight="1" spans="1:9">
      <c r="A41" s="628"/>
      <c r="B41" s="434"/>
      <c r="C41" s="329" t="s">
        <v>13</v>
      </c>
      <c r="D41" s="443">
        <f t="shared" si="24"/>
        <v>62752.2531572</v>
      </c>
      <c r="E41" s="443">
        <f>SUM(E45:E45)</f>
        <v>15570.47423144</v>
      </c>
      <c r="F41" s="443">
        <f t="shared" ref="F41:I41" si="25">SUM(F45:F45)</f>
        <v>14060.46243144</v>
      </c>
      <c r="G41" s="443">
        <f t="shared" si="25"/>
        <v>14060.46243144</v>
      </c>
      <c r="H41" s="443">
        <f t="shared" si="25"/>
        <v>9530.42703144</v>
      </c>
      <c r="I41" s="443">
        <f t="shared" si="25"/>
        <v>9530.42703144</v>
      </c>
    </row>
    <row r="42" ht="24" customHeight="1" spans="1:9">
      <c r="A42" s="628"/>
      <c r="B42" s="434"/>
      <c r="C42" s="329" t="s">
        <v>14</v>
      </c>
      <c r="D42" s="443">
        <f t="shared" si="24"/>
        <v>47495.9374926</v>
      </c>
      <c r="E42" s="443">
        <f t="shared" ref="E42:I43" si="26">SUM(E46:E46)</f>
        <v>13700.57109852</v>
      </c>
      <c r="F42" s="443">
        <f>SUM(F46:F46)</f>
        <v>11599.87929852</v>
      </c>
      <c r="G42" s="443">
        <f t="shared" si="26"/>
        <v>11599.87929852</v>
      </c>
      <c r="H42" s="443">
        <f t="shared" si="26"/>
        <v>5297.80389852</v>
      </c>
      <c r="I42" s="443">
        <f t="shared" si="26"/>
        <v>5297.80389852</v>
      </c>
    </row>
    <row r="43" ht="24" customHeight="1" spans="1:9">
      <c r="A43" s="628"/>
      <c r="B43" s="434"/>
      <c r="C43" s="329" t="s">
        <v>15</v>
      </c>
      <c r="D43" s="443">
        <f t="shared" si="24"/>
        <v>128884.063074</v>
      </c>
      <c r="E43" s="443">
        <f t="shared" si="26"/>
        <v>35830.9426148</v>
      </c>
      <c r="F43" s="443">
        <f t="shared" si="26"/>
        <v>30803.8776148</v>
      </c>
      <c r="G43" s="443">
        <f t="shared" si="26"/>
        <v>30803.8776148</v>
      </c>
      <c r="H43" s="443">
        <f t="shared" si="26"/>
        <v>15722.6826148</v>
      </c>
      <c r="I43" s="443">
        <f t="shared" si="26"/>
        <v>15722.6826148</v>
      </c>
    </row>
    <row r="44" ht="24" hidden="1" customHeight="1" spans="1:9">
      <c r="A44" s="639" t="s">
        <v>31</v>
      </c>
      <c r="B44" s="434" t="s">
        <v>32</v>
      </c>
      <c r="C44" s="322" t="s">
        <v>4</v>
      </c>
      <c r="D44" s="440">
        <f>D36*0.2</f>
        <v>239132.2537238</v>
      </c>
      <c r="E44" s="440">
        <f>E8*0.2</f>
        <v>65101.98794476</v>
      </c>
      <c r="F44" s="440">
        <f t="shared" ref="F44:I45" si="27">F8*0.2</f>
        <v>56464.21934476</v>
      </c>
      <c r="G44" s="440">
        <f t="shared" si="27"/>
        <v>56464.21934476</v>
      </c>
      <c r="H44" s="440">
        <f t="shared" si="27"/>
        <v>30550.91354476</v>
      </c>
      <c r="I44" s="440">
        <f t="shared" si="27"/>
        <v>30550.91354476</v>
      </c>
    </row>
    <row r="45" ht="24" hidden="1" customHeight="1" spans="1:9">
      <c r="A45" s="626"/>
      <c r="B45" s="434"/>
      <c r="C45" s="329" t="s">
        <v>13</v>
      </c>
      <c r="D45" s="443">
        <f>SUM(E45:I45)</f>
        <v>62752.2531572</v>
      </c>
      <c r="E45" s="443">
        <f>E9*0.2</f>
        <v>15570.47423144</v>
      </c>
      <c r="F45" s="443">
        <f t="shared" si="27"/>
        <v>14060.46243144</v>
      </c>
      <c r="G45" s="443">
        <f t="shared" si="27"/>
        <v>14060.46243144</v>
      </c>
      <c r="H45" s="443">
        <f t="shared" si="27"/>
        <v>9530.42703144</v>
      </c>
      <c r="I45" s="443">
        <f t="shared" si="27"/>
        <v>9530.42703144</v>
      </c>
    </row>
    <row r="46" ht="24" hidden="1" customHeight="1" spans="1:9">
      <c r="A46" s="626"/>
      <c r="B46" s="434"/>
      <c r="C46" s="329" t="s">
        <v>14</v>
      </c>
      <c r="D46" s="443">
        <f t="shared" ref="D46:D47" si="28">SUM(E46:I46)</f>
        <v>47495.9374926</v>
      </c>
      <c r="E46" s="443">
        <f t="shared" ref="E46:I47" si="29">E10*0.2</f>
        <v>13700.57109852</v>
      </c>
      <c r="F46" s="443">
        <f t="shared" si="29"/>
        <v>11599.87929852</v>
      </c>
      <c r="G46" s="443">
        <f t="shared" si="29"/>
        <v>11599.87929852</v>
      </c>
      <c r="H46" s="443">
        <f t="shared" si="29"/>
        <v>5297.80389852</v>
      </c>
      <c r="I46" s="443">
        <f t="shared" si="29"/>
        <v>5297.80389852</v>
      </c>
    </row>
    <row r="47" ht="24" hidden="1" customHeight="1" spans="1:9">
      <c r="A47" s="626"/>
      <c r="B47" s="434"/>
      <c r="C47" s="329" t="s">
        <v>15</v>
      </c>
      <c r="D47" s="443">
        <f t="shared" si="28"/>
        <v>128884.063074</v>
      </c>
      <c r="E47" s="443">
        <f t="shared" si="29"/>
        <v>35830.9426148</v>
      </c>
      <c r="F47" s="443">
        <f t="shared" si="29"/>
        <v>30803.8776148</v>
      </c>
      <c r="G47" s="443">
        <f t="shared" si="29"/>
        <v>30803.8776148</v>
      </c>
      <c r="H47" s="443">
        <f t="shared" si="29"/>
        <v>15722.6826148</v>
      </c>
      <c r="I47" s="443">
        <f t="shared" si="29"/>
        <v>15722.6826148</v>
      </c>
    </row>
    <row r="48" ht="24" customHeight="1" spans="1:9">
      <c r="A48" s="628">
        <v>2.2</v>
      </c>
      <c r="B48" s="434" t="s">
        <v>33</v>
      </c>
      <c r="C48" s="322" t="s">
        <v>4</v>
      </c>
      <c r="D48" s="440">
        <f>D36*0.8</f>
        <v>956529.0148952</v>
      </c>
      <c r="E48" s="440">
        <f>E52</f>
        <v>260407.95177904</v>
      </c>
      <c r="F48" s="440">
        <f>F52</f>
        <v>225856.87737904</v>
      </c>
      <c r="G48" s="440">
        <f>G52</f>
        <v>225856.87737904</v>
      </c>
      <c r="H48" s="440">
        <f>H52</f>
        <v>122203.65417904</v>
      </c>
      <c r="I48" s="440">
        <f>I52</f>
        <v>122203.65417904</v>
      </c>
    </row>
    <row r="49" ht="24" customHeight="1" spans="1:9">
      <c r="A49" s="628"/>
      <c r="B49" s="434"/>
      <c r="C49" s="329" t="s">
        <v>13</v>
      </c>
      <c r="D49" s="443">
        <f>SUM(E49:I49)</f>
        <v>251009.0126288</v>
      </c>
      <c r="E49" s="443">
        <f t="shared" ref="E49:I51" si="30">E53</f>
        <v>62281.89692576</v>
      </c>
      <c r="F49" s="443">
        <f t="shared" si="30"/>
        <v>56241.84972576</v>
      </c>
      <c r="G49" s="443">
        <f t="shared" si="30"/>
        <v>56241.84972576</v>
      </c>
      <c r="H49" s="443">
        <f t="shared" si="30"/>
        <v>38121.70812576</v>
      </c>
      <c r="I49" s="443">
        <f t="shared" si="30"/>
        <v>38121.70812576</v>
      </c>
    </row>
    <row r="50" ht="24" customHeight="1" spans="1:9">
      <c r="A50" s="628"/>
      <c r="B50" s="434"/>
      <c r="C50" s="329" t="s">
        <v>14</v>
      </c>
      <c r="D50" s="443">
        <f t="shared" ref="D50:D51" si="31">SUM(E50:I50)</f>
        <v>189983.7499704</v>
      </c>
      <c r="E50" s="443">
        <f t="shared" si="30"/>
        <v>54802.28439408</v>
      </c>
      <c r="F50" s="443">
        <f t="shared" si="30"/>
        <v>46399.51719408</v>
      </c>
      <c r="G50" s="443">
        <f t="shared" si="30"/>
        <v>46399.51719408</v>
      </c>
      <c r="H50" s="443">
        <f t="shared" si="30"/>
        <v>21191.21559408</v>
      </c>
      <c r="I50" s="443">
        <f t="shared" si="30"/>
        <v>21191.21559408</v>
      </c>
    </row>
    <row r="51" ht="24" customHeight="1" spans="1:9">
      <c r="A51" s="628"/>
      <c r="B51" s="434"/>
      <c r="C51" s="329" t="s">
        <v>15</v>
      </c>
      <c r="D51" s="443">
        <f t="shared" si="31"/>
        <v>515536.252296</v>
      </c>
      <c r="E51" s="443">
        <f t="shared" si="30"/>
        <v>143323.7704592</v>
      </c>
      <c r="F51" s="443">
        <f t="shared" si="30"/>
        <v>123215.5104592</v>
      </c>
      <c r="G51" s="443">
        <f t="shared" si="30"/>
        <v>123215.5104592</v>
      </c>
      <c r="H51" s="443">
        <f t="shared" si="30"/>
        <v>62890.7304592</v>
      </c>
      <c r="I51" s="443">
        <f t="shared" si="30"/>
        <v>62890.7304592</v>
      </c>
    </row>
    <row r="52" ht="24" hidden="1" customHeight="1" spans="1:9">
      <c r="A52" s="639" t="s">
        <v>34</v>
      </c>
      <c r="B52" s="434" t="s">
        <v>32</v>
      </c>
      <c r="C52" s="322" t="s">
        <v>4</v>
      </c>
      <c r="D52" s="440">
        <f>D48</f>
        <v>956529.0148952</v>
      </c>
      <c r="E52" s="440">
        <f>E8*0.8</f>
        <v>260407.95177904</v>
      </c>
      <c r="F52" s="440">
        <f t="shared" ref="F52:I53" si="32">F8*0.8</f>
        <v>225856.87737904</v>
      </c>
      <c r="G52" s="440">
        <f t="shared" si="32"/>
        <v>225856.87737904</v>
      </c>
      <c r="H52" s="440">
        <f t="shared" si="32"/>
        <v>122203.65417904</v>
      </c>
      <c r="I52" s="440">
        <f t="shared" si="32"/>
        <v>122203.65417904</v>
      </c>
    </row>
    <row r="53" ht="24" hidden="1" customHeight="1" spans="1:9">
      <c r="A53" s="626"/>
      <c r="B53" s="434"/>
      <c r="C53" s="329" t="s">
        <v>13</v>
      </c>
      <c r="D53" s="443">
        <f>SUM(E53:I53)</f>
        <v>251009.0126288</v>
      </c>
      <c r="E53" s="443">
        <f>E9*0.8</f>
        <v>62281.89692576</v>
      </c>
      <c r="F53" s="443">
        <f t="shared" si="32"/>
        <v>56241.84972576</v>
      </c>
      <c r="G53" s="443">
        <f t="shared" si="32"/>
        <v>56241.84972576</v>
      </c>
      <c r="H53" s="443">
        <f t="shared" si="32"/>
        <v>38121.70812576</v>
      </c>
      <c r="I53" s="443">
        <f t="shared" si="32"/>
        <v>38121.70812576</v>
      </c>
    </row>
    <row r="54" ht="24" hidden="1" customHeight="1" spans="1:9">
      <c r="A54" s="626"/>
      <c r="B54" s="434"/>
      <c r="C54" s="329" t="s">
        <v>14</v>
      </c>
      <c r="D54" s="443">
        <f>SUM(E54:I54)</f>
        <v>189983.7499704</v>
      </c>
      <c r="E54" s="443">
        <f t="shared" ref="E54:I55" si="33">E10*0.8</f>
        <v>54802.28439408</v>
      </c>
      <c r="F54" s="443">
        <f t="shared" si="33"/>
        <v>46399.51719408</v>
      </c>
      <c r="G54" s="443">
        <f t="shared" si="33"/>
        <v>46399.51719408</v>
      </c>
      <c r="H54" s="443">
        <f t="shared" si="33"/>
        <v>21191.21559408</v>
      </c>
      <c r="I54" s="443">
        <f t="shared" si="33"/>
        <v>21191.21559408</v>
      </c>
    </row>
    <row r="55" ht="24" hidden="1" customHeight="1" spans="1:9">
      <c r="A55" s="626"/>
      <c r="B55" s="434"/>
      <c r="C55" s="329" t="s">
        <v>15</v>
      </c>
      <c r="D55" s="443">
        <f t="shared" ref="D55:D59" si="34">SUM(E55:I55)</f>
        <v>515536.252296</v>
      </c>
      <c r="E55" s="443">
        <f t="shared" si="33"/>
        <v>143323.7704592</v>
      </c>
      <c r="F55" s="443">
        <f t="shared" si="33"/>
        <v>123215.5104592</v>
      </c>
      <c r="G55" s="443">
        <f t="shared" si="33"/>
        <v>123215.5104592</v>
      </c>
      <c r="H55" s="443">
        <f t="shared" si="33"/>
        <v>62890.7304592</v>
      </c>
      <c r="I55" s="443">
        <f t="shared" si="33"/>
        <v>62890.7304592</v>
      </c>
    </row>
    <row r="56" s="430" customFormat="1" ht="19.9" customHeight="1" spans="1:9">
      <c r="A56" s="434">
        <v>3</v>
      </c>
      <c r="B56" s="434" t="s">
        <v>35</v>
      </c>
      <c r="C56" s="322" t="s">
        <v>4</v>
      </c>
      <c r="D56" s="461">
        <f t="shared" si="34"/>
        <v>1</v>
      </c>
      <c r="E56" s="461">
        <f>E8/D8</f>
        <v>0.272242606051601</v>
      </c>
      <c r="F56" s="461">
        <f>F8/D8</f>
        <v>0.236121303025801</v>
      </c>
      <c r="G56" s="461">
        <f>G8/D8</f>
        <v>0.236121303025801</v>
      </c>
      <c r="H56" s="461">
        <f>H8/D8</f>
        <v>0.127757393948399</v>
      </c>
      <c r="I56" s="461">
        <f>I8/D8</f>
        <v>0.127757393948399</v>
      </c>
    </row>
    <row r="57" s="430" customFormat="1" ht="19.9" customHeight="1" spans="1:9">
      <c r="A57" s="434"/>
      <c r="B57" s="434"/>
      <c r="C57" s="329" t="s">
        <v>13</v>
      </c>
      <c r="D57" s="464">
        <f t="shared" si="34"/>
        <v>1</v>
      </c>
      <c r="E57" s="464">
        <f>E9/D9</f>
        <v>0.248126138075625</v>
      </c>
      <c r="F57" s="464">
        <f t="shared" ref="F57:F59" si="35">F9/D9</f>
        <v>0.224063069037813</v>
      </c>
      <c r="G57" s="464">
        <f t="shared" ref="G57:G59" si="36">G9/D9</f>
        <v>0.224063069037813</v>
      </c>
      <c r="H57" s="464">
        <f t="shared" ref="H57:H59" si="37">H9/D9</f>
        <v>0.151873861924375</v>
      </c>
      <c r="I57" s="464">
        <f t="shared" ref="I57:I59" si="38">I9/D9</f>
        <v>0.151873861924375</v>
      </c>
    </row>
    <row r="58" spans="1:9">
      <c r="A58" s="434"/>
      <c r="B58" s="434"/>
      <c r="C58" s="329" t="s">
        <v>14</v>
      </c>
      <c r="D58" s="464">
        <f t="shared" si="34"/>
        <v>1</v>
      </c>
      <c r="E58" s="464">
        <f t="shared" ref="E58:E59" si="39">E10/D10</f>
        <v>0.288457746531576</v>
      </c>
      <c r="F58" s="464">
        <f t="shared" si="35"/>
        <v>0.244228873265788</v>
      </c>
      <c r="G58" s="464">
        <f t="shared" si="36"/>
        <v>0.244228873265788</v>
      </c>
      <c r="H58" s="464">
        <f t="shared" si="37"/>
        <v>0.111542253468424</v>
      </c>
      <c r="I58" s="464">
        <f t="shared" si="38"/>
        <v>0.111542253468424</v>
      </c>
    </row>
    <row r="59" spans="1:9">
      <c r="A59" s="434"/>
      <c r="B59" s="434"/>
      <c r="C59" s="329" t="s">
        <v>15</v>
      </c>
      <c r="D59" s="464">
        <f t="shared" si="34"/>
        <v>1</v>
      </c>
      <c r="E59" s="464">
        <f t="shared" si="39"/>
        <v>0.278009101825315</v>
      </c>
      <c r="F59" s="464">
        <f t="shared" si="35"/>
        <v>0.239004550912657</v>
      </c>
      <c r="G59" s="464">
        <f t="shared" si="36"/>
        <v>0.239004550912657</v>
      </c>
      <c r="H59" s="464">
        <f t="shared" si="37"/>
        <v>0.121990898174685</v>
      </c>
      <c r="I59" s="464">
        <f t="shared" si="38"/>
        <v>0.121990898174685</v>
      </c>
    </row>
    <row r="60" ht="63" customHeight="1" spans="2:7">
      <c r="B60" s="629"/>
      <c r="C60" s="630"/>
      <c r="D60" s="631"/>
      <c r="G60" s="466"/>
    </row>
    <row r="61" ht="44.25" customHeight="1" spans="2:4">
      <c r="B61" s="629"/>
      <c r="C61" s="630"/>
      <c r="D61" s="631"/>
    </row>
  </sheetData>
  <mergeCells count="33">
    <mergeCell ref="A1:I1"/>
    <mergeCell ref="E2:I2"/>
    <mergeCell ref="A2:A3"/>
    <mergeCell ref="A4:A7"/>
    <mergeCell ref="A8:A11"/>
    <mergeCell ref="A12:A19"/>
    <mergeCell ref="A20:A23"/>
    <mergeCell ref="A24:A27"/>
    <mergeCell ref="A28:A31"/>
    <mergeCell ref="A32:A35"/>
    <mergeCell ref="A36:A39"/>
    <mergeCell ref="A40:A43"/>
    <mergeCell ref="A44:A47"/>
    <mergeCell ref="A48:A51"/>
    <mergeCell ref="A52:A55"/>
    <mergeCell ref="A56:A59"/>
    <mergeCell ref="B2:B3"/>
    <mergeCell ref="B4:B7"/>
    <mergeCell ref="B8:B11"/>
    <mergeCell ref="B12:B15"/>
    <mergeCell ref="B16:B19"/>
    <mergeCell ref="B20:B23"/>
    <mergeCell ref="B24:B27"/>
    <mergeCell ref="B28:B31"/>
    <mergeCell ref="B32:B35"/>
    <mergeCell ref="B36:B39"/>
    <mergeCell ref="B40:B43"/>
    <mergeCell ref="B44:B47"/>
    <mergeCell ref="B48:B51"/>
    <mergeCell ref="B52:B55"/>
    <mergeCell ref="B56:B59"/>
    <mergeCell ref="C2:C3"/>
    <mergeCell ref="D2:D3"/>
  </mergeCells>
  <pageMargins left="1.0625" right="0.590277777777778" top="0.747916666666667" bottom="0.826388888888889" header="0.511805555555556" footer="0.511805555555556"/>
  <pageSetup paperSize="9" fitToHeight="100" orientation="landscape" horizontalDpi="600"/>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22"/>
  <sheetViews>
    <sheetView workbookViewId="0">
      <selection activeCell="C18" sqref="C18"/>
    </sheetView>
  </sheetViews>
  <sheetFormatPr defaultColWidth="9" defaultRowHeight="14.25"/>
  <cols>
    <col min="1" max="1" width="4.75" customWidth="1"/>
    <col min="2" max="2" width="24.25" customWidth="1"/>
    <col min="3" max="3" width="12.25" customWidth="1"/>
    <col min="4" max="4" width="10.25" customWidth="1"/>
    <col min="5" max="5" width="10.375" customWidth="1"/>
    <col min="6" max="6" width="10.5" customWidth="1"/>
    <col min="7" max="7" width="10" customWidth="1"/>
    <col min="8" max="8" width="10.375" customWidth="1"/>
  </cols>
  <sheetData>
    <row r="1" ht="17.25" spans="1:18">
      <c r="A1" s="592" t="s">
        <v>41</v>
      </c>
      <c r="B1" s="592"/>
      <c r="C1" s="592"/>
      <c r="D1" s="592"/>
      <c r="E1" s="592"/>
      <c r="F1" s="592"/>
      <c r="G1" s="592"/>
      <c r="H1" s="592"/>
      <c r="I1" s="592"/>
      <c r="J1" s="592"/>
      <c r="K1" s="592"/>
      <c r="L1" s="592"/>
      <c r="M1" s="592"/>
      <c r="N1" s="592"/>
      <c r="O1" s="592"/>
      <c r="P1" s="592"/>
      <c r="Q1" s="592"/>
      <c r="R1" s="592"/>
    </row>
    <row r="2" spans="1:18">
      <c r="A2" s="593" t="s">
        <v>1</v>
      </c>
      <c r="B2" s="593" t="s">
        <v>42</v>
      </c>
      <c r="C2" s="594" t="s">
        <v>4</v>
      </c>
      <c r="D2" s="612" t="s">
        <v>5</v>
      </c>
      <c r="E2" s="612"/>
      <c r="F2" s="612"/>
      <c r="G2" s="612"/>
      <c r="H2" s="612"/>
      <c r="I2" s="622" t="s">
        <v>43</v>
      </c>
      <c r="J2" s="623"/>
      <c r="K2" s="623"/>
      <c r="L2" s="623"/>
      <c r="M2" s="623"/>
      <c r="N2" s="623"/>
      <c r="O2" s="623"/>
      <c r="P2" s="623"/>
      <c r="Q2" s="623"/>
      <c r="R2" s="624"/>
    </row>
    <row r="3" spans="1:18">
      <c r="A3" s="596"/>
      <c r="B3" s="596"/>
      <c r="C3" s="597"/>
      <c r="D3" s="613">
        <v>2019</v>
      </c>
      <c r="E3" s="613">
        <v>2020</v>
      </c>
      <c r="F3" s="613">
        <v>2021</v>
      </c>
      <c r="G3" s="613">
        <v>2022</v>
      </c>
      <c r="H3" s="613">
        <v>2023</v>
      </c>
      <c r="I3" s="613">
        <v>2024</v>
      </c>
      <c r="J3" s="613">
        <v>2025</v>
      </c>
      <c r="K3" s="613">
        <v>2026</v>
      </c>
      <c r="L3" s="613">
        <v>2027</v>
      </c>
      <c r="M3" s="613">
        <v>2028</v>
      </c>
      <c r="N3" s="613">
        <v>2029</v>
      </c>
      <c r="O3" s="613">
        <v>2030</v>
      </c>
      <c r="P3" s="613">
        <v>2031</v>
      </c>
      <c r="Q3" s="613">
        <v>2032</v>
      </c>
      <c r="R3" s="613">
        <v>2033</v>
      </c>
    </row>
    <row r="4" spans="1:18">
      <c r="A4" s="599"/>
      <c r="B4" s="599"/>
      <c r="C4" s="614"/>
      <c r="D4" s="613">
        <v>1</v>
      </c>
      <c r="E4" s="615">
        <v>2</v>
      </c>
      <c r="F4" s="615">
        <v>3</v>
      </c>
      <c r="G4" s="615">
        <v>4</v>
      </c>
      <c r="H4" s="613">
        <v>5</v>
      </c>
      <c r="I4" s="615">
        <v>6</v>
      </c>
      <c r="J4" s="613">
        <v>7</v>
      </c>
      <c r="K4" s="615">
        <v>8</v>
      </c>
      <c r="L4" s="613">
        <v>9</v>
      </c>
      <c r="M4" s="615">
        <v>10</v>
      </c>
      <c r="N4" s="613">
        <v>11</v>
      </c>
      <c r="O4" s="615">
        <v>12</v>
      </c>
      <c r="P4" s="613">
        <v>13</v>
      </c>
      <c r="Q4" s="615">
        <v>14</v>
      </c>
      <c r="R4" s="613">
        <v>15</v>
      </c>
    </row>
    <row r="5" ht="18.75" customHeight="1" spans="1:18">
      <c r="A5" s="355">
        <v>1</v>
      </c>
      <c r="B5" s="601" t="s">
        <v>44</v>
      </c>
      <c r="C5" s="616">
        <f>SUM(D5:H5)</f>
        <v>1195661.268619</v>
      </c>
      <c r="D5" s="617">
        <f>项目投资与资金筹措计划表!E8</f>
        <v>325509.9397238</v>
      </c>
      <c r="E5" s="617">
        <f>项目投资与资金筹措计划表!F8</f>
        <v>282321.0967238</v>
      </c>
      <c r="F5" s="617">
        <f>项目投资与资金筹措计划表!G8</f>
        <v>282321.0967238</v>
      </c>
      <c r="G5" s="617">
        <f>项目投资与资金筹措计划表!H8</f>
        <v>152754.5677238</v>
      </c>
      <c r="H5" s="617">
        <f>项目投资与资金筹措计划表!I8</f>
        <v>152754.5677238</v>
      </c>
      <c r="I5" s="618"/>
      <c r="J5" s="618"/>
      <c r="K5" s="618"/>
      <c r="L5" s="618"/>
      <c r="M5" s="618"/>
      <c r="N5" s="618"/>
      <c r="O5" s="618"/>
      <c r="P5" s="618"/>
      <c r="Q5" s="618"/>
      <c r="R5" s="618"/>
    </row>
    <row r="6" ht="18.75" customHeight="1" spans="1:18">
      <c r="A6" s="355">
        <v>1.1</v>
      </c>
      <c r="B6" s="601" t="s">
        <v>28</v>
      </c>
      <c r="C6" s="616">
        <f>SUM(D6:H6)</f>
        <v>134759.463862152</v>
      </c>
      <c r="D6" s="617">
        <f>项目投资与资金筹措计划表!E32</f>
        <v>6379.99481858648</v>
      </c>
      <c r="E6" s="617">
        <f>项目投资与资金筹措计划表!F32</f>
        <v>18293.4831329594</v>
      </c>
      <c r="F6" s="617">
        <f>项目投资与资金筹措计划表!G32</f>
        <v>29360.4701245324</v>
      </c>
      <c r="G6" s="617">
        <f>项目投资与资金筹措计划表!H32</f>
        <v>37887.9531477054</v>
      </c>
      <c r="H6" s="617">
        <f>项目投资与资金筹措计划表!I32</f>
        <v>42837.5626383684</v>
      </c>
      <c r="I6" s="618"/>
      <c r="J6" s="618"/>
      <c r="K6" s="618"/>
      <c r="L6" s="618"/>
      <c r="M6" s="618"/>
      <c r="N6" s="618"/>
      <c r="O6" s="618"/>
      <c r="P6" s="618"/>
      <c r="Q6" s="618"/>
      <c r="R6" s="618"/>
    </row>
    <row r="7" ht="18.75" customHeight="1" spans="1:18">
      <c r="A7" s="355">
        <v>1.2</v>
      </c>
      <c r="B7" s="601" t="s">
        <v>45</v>
      </c>
      <c r="C7" s="616">
        <v>0</v>
      </c>
      <c r="D7" s="617"/>
      <c r="E7" s="617"/>
      <c r="F7" s="617"/>
      <c r="G7" s="617"/>
      <c r="H7" s="617"/>
      <c r="I7" s="618"/>
      <c r="J7" s="618"/>
      <c r="K7" s="618"/>
      <c r="L7" s="618"/>
      <c r="M7" s="618"/>
      <c r="N7" s="618"/>
      <c r="O7" s="618"/>
      <c r="P7" s="618"/>
      <c r="Q7" s="618"/>
      <c r="R7" s="618"/>
    </row>
    <row r="8" ht="18.75" customHeight="1" spans="1:18">
      <c r="A8" s="355">
        <v>2</v>
      </c>
      <c r="B8" s="601" t="s">
        <v>46</v>
      </c>
      <c r="C8" s="618">
        <f>SUM(D8:R8)</f>
        <v>34664.9995462306</v>
      </c>
      <c r="D8" s="617"/>
      <c r="E8" s="617"/>
      <c r="F8" s="617"/>
      <c r="G8" s="617"/>
      <c r="H8" s="617"/>
      <c r="I8" s="618">
        <f>I9+(I9*0.1)-I10</f>
        <v>1174.0820844944</v>
      </c>
      <c r="J8" s="618">
        <f t="shared" ref="J8:R8" si="0">J9+(J9*0.1)-J10</f>
        <v>1896.6814708444</v>
      </c>
      <c r="K8" s="618">
        <f t="shared" si="0"/>
        <v>3144.0899782332</v>
      </c>
      <c r="L8" s="618">
        <f t="shared" si="0"/>
        <v>3672.77240436362</v>
      </c>
      <c r="M8" s="618">
        <f t="shared" si="0"/>
        <v>3665.78959312486</v>
      </c>
      <c r="N8" s="618">
        <f t="shared" si="0"/>
        <v>3968.70221907329</v>
      </c>
      <c r="O8" s="618">
        <f t="shared" si="0"/>
        <v>4333.86591256798</v>
      </c>
      <c r="P8" s="618">
        <f t="shared" si="0"/>
        <v>4333.86591256798</v>
      </c>
      <c r="Q8" s="618">
        <f t="shared" si="0"/>
        <v>4118.23265767198</v>
      </c>
      <c r="R8" s="618">
        <f t="shared" si="0"/>
        <v>4356.91731328886</v>
      </c>
    </row>
    <row r="9" ht="18.75" customHeight="1" spans="1:18">
      <c r="A9" s="355">
        <v>2.1</v>
      </c>
      <c r="B9" s="601" t="s">
        <v>47</v>
      </c>
      <c r="C9" s="618">
        <f>SUM(D9:R9)</f>
        <v>57249.0141329369</v>
      </c>
      <c r="D9" s="618"/>
      <c r="E9" s="618"/>
      <c r="F9" s="618"/>
      <c r="G9" s="618">
        <f>运维成本费用估算表!C39</f>
        <v>0</v>
      </c>
      <c r="H9" s="618">
        <f>运维成本费用估算表!D39</f>
        <v>0</v>
      </c>
      <c r="I9" s="618">
        <f>运维成本费用估算表!E39</f>
        <v>2594.524585904</v>
      </c>
      <c r="J9" s="618">
        <f>运维成本费用估算表!F39</f>
        <v>3420.887664404</v>
      </c>
      <c r="K9" s="618">
        <f>运维成本费用估算表!G39</f>
        <v>4950.984780212</v>
      </c>
      <c r="L9" s="618">
        <f>运维成本费用估算表!H39</f>
        <v>5601.05971305784</v>
      </c>
      <c r="M9" s="618">
        <f>运维成本费用估算表!I39</f>
        <v>5990.80108465896</v>
      </c>
      <c r="N9" s="618">
        <f>运维成本费用估算表!J39</f>
        <v>6435.63074461208</v>
      </c>
      <c r="O9" s="618">
        <f>运维成本费用估算表!K39</f>
        <v>6994.2325750618</v>
      </c>
      <c r="P9" s="618">
        <f>运维成本费用估算表!L39</f>
        <v>6994.2325750618</v>
      </c>
      <c r="Q9" s="618">
        <f>运维成本费用估算表!M39</f>
        <v>7024.8371797018</v>
      </c>
      <c r="R9" s="618">
        <f>运维成本费用估算表!N39</f>
        <v>7241.8232302626</v>
      </c>
    </row>
    <row r="10" ht="18.75" customHeight="1" spans="1:18">
      <c r="A10" s="355">
        <v>2.2</v>
      </c>
      <c r="B10" s="601" t="s">
        <v>48</v>
      </c>
      <c r="C10" s="618">
        <f>SUM(D10:R10)</f>
        <v>28308.916</v>
      </c>
      <c r="D10" s="618"/>
      <c r="E10" s="618"/>
      <c r="F10" s="618"/>
      <c r="G10" s="618"/>
      <c r="H10" s="618"/>
      <c r="I10" s="618">
        <f>使用者付费!K4</f>
        <v>1679.89496</v>
      </c>
      <c r="J10" s="618">
        <f>使用者付费!L4</f>
        <v>1866.29496</v>
      </c>
      <c r="K10" s="618">
        <f>使用者付费!M4</f>
        <v>2301.99328</v>
      </c>
      <c r="L10" s="618">
        <f>使用者付费!N4</f>
        <v>2488.39328</v>
      </c>
      <c r="M10" s="618">
        <f>使用者付费!O4</f>
        <v>2924.0916</v>
      </c>
      <c r="N10" s="618">
        <f>使用者付费!P4</f>
        <v>3110.4916</v>
      </c>
      <c r="O10" s="618">
        <f>使用者付费!Q4</f>
        <v>3359.78992</v>
      </c>
      <c r="P10" s="618">
        <f>使用者付费!R4</f>
        <v>3359.78992</v>
      </c>
      <c r="Q10" s="618">
        <f>使用者付费!S4</f>
        <v>3609.08824</v>
      </c>
      <c r="R10" s="618">
        <f>使用者付费!T4</f>
        <v>3609.08824</v>
      </c>
    </row>
    <row r="11" ht="18.75" customHeight="1" spans="1:18">
      <c r="A11" s="355">
        <v>3</v>
      </c>
      <c r="B11" s="601" t="s">
        <v>49</v>
      </c>
      <c r="C11" s="618">
        <f>SUM(D11:R11)</f>
        <v>37843.6501681869</v>
      </c>
      <c r="D11" s="618"/>
      <c r="E11" s="618"/>
      <c r="F11" s="618"/>
      <c r="G11" s="618">
        <f>G12+G13+G14</f>
        <v>0</v>
      </c>
      <c r="H11" s="618">
        <f t="shared" ref="H11:R11" si="1">H12+H13+H14</f>
        <v>0</v>
      </c>
      <c r="I11" s="618">
        <f t="shared" si="1"/>
        <v>0</v>
      </c>
      <c r="J11" s="618">
        <f t="shared" si="1"/>
        <v>0</v>
      </c>
      <c r="K11" s="618">
        <f t="shared" si="1"/>
        <v>0</v>
      </c>
      <c r="L11" s="618">
        <f t="shared" si="1"/>
        <v>0</v>
      </c>
      <c r="M11" s="618">
        <f t="shared" si="1"/>
        <v>276.555156171799</v>
      </c>
      <c r="N11" s="618">
        <f t="shared" si="1"/>
        <v>812.25096069822</v>
      </c>
      <c r="O11" s="618">
        <f t="shared" si="1"/>
        <v>2748.02210653545</v>
      </c>
      <c r="P11" s="618">
        <f t="shared" si="1"/>
        <v>4528.99199240398</v>
      </c>
      <c r="Q11" s="618">
        <f t="shared" si="1"/>
        <v>14207.350232523</v>
      </c>
      <c r="R11" s="618">
        <f t="shared" si="1"/>
        <v>15270.4797198545</v>
      </c>
    </row>
    <row r="12" ht="18.75" customHeight="1" spans="1:18">
      <c r="A12" s="355">
        <v>3.1</v>
      </c>
      <c r="B12" s="619" t="s">
        <v>50</v>
      </c>
      <c r="C12" s="618">
        <f t="shared" ref="C12:C14" si="2">SUM(D12:R12)</f>
        <v>17165.1869476758</v>
      </c>
      <c r="D12" s="618"/>
      <c r="E12" s="618"/>
      <c r="F12" s="618"/>
      <c r="G12" s="618">
        <f>项目公司利润与利润分配表!H69</f>
        <v>0</v>
      </c>
      <c r="H12" s="618">
        <f>项目公司利润与利润分配表!I69</f>
        <v>0</v>
      </c>
      <c r="I12" s="618">
        <f>项目公司利润与利润分配表!J69</f>
        <v>0</v>
      </c>
      <c r="J12" s="618">
        <f>项目公司利润与利润分配表!K69</f>
        <v>0</v>
      </c>
      <c r="K12" s="618">
        <f>项目公司利润与利润分配表!L69</f>
        <v>0</v>
      </c>
      <c r="L12" s="618">
        <f>项目公司利润与利润分配表!M69</f>
        <v>0</v>
      </c>
      <c r="M12" s="618">
        <f>项目公司利润与利润分配表!N69</f>
        <v>0</v>
      </c>
      <c r="N12" s="618">
        <f>项目公司利润与利润分配表!O69</f>
        <v>0</v>
      </c>
      <c r="O12" s="618">
        <f>项目公司利润与利润分配表!P69</f>
        <v>0</v>
      </c>
      <c r="P12" s="618">
        <f>项目公司利润与利润分配表!Q69</f>
        <v>559.613035755265</v>
      </c>
      <c r="Q12" s="618">
        <f>项目公司利润与利润分配表!R69</f>
        <v>8304.64932058565</v>
      </c>
      <c r="R12" s="618">
        <f>项目公司利润与利润分配表!S69</f>
        <v>8300.92459133485</v>
      </c>
    </row>
    <row r="13" ht="18.75" customHeight="1" spans="1:18">
      <c r="A13" s="355">
        <v>3.2</v>
      </c>
      <c r="B13" s="619" t="s">
        <v>51</v>
      </c>
      <c r="C13" s="618">
        <f t="shared" si="2"/>
        <v>2059.82243372109</v>
      </c>
      <c r="D13" s="618"/>
      <c r="E13" s="618"/>
      <c r="F13" s="618"/>
      <c r="G13" s="618">
        <f>项目公司利润与利润分配表!H109</f>
        <v>0</v>
      </c>
      <c r="H13" s="618">
        <f>项目公司利润与利润分配表!I109</f>
        <v>0</v>
      </c>
      <c r="I13" s="618">
        <f>项目公司利润与利润分配表!J109</f>
        <v>0</v>
      </c>
      <c r="J13" s="618">
        <f>项目公司利润与利润分配表!K109</f>
        <v>0</v>
      </c>
      <c r="K13" s="618">
        <f>项目公司利润与利润分配表!L109</f>
        <v>0</v>
      </c>
      <c r="L13" s="618">
        <f>项目公司利润与利润分配表!M109</f>
        <v>0</v>
      </c>
      <c r="M13" s="618">
        <f>项目公司利润与利润分配表!N109</f>
        <v>0</v>
      </c>
      <c r="N13" s="618">
        <f>项目公司利润与利润分配表!O109</f>
        <v>0</v>
      </c>
      <c r="O13" s="618">
        <f>项目公司利润与利润分配表!P109</f>
        <v>0</v>
      </c>
      <c r="P13" s="618">
        <f>项目公司利润与利润分配表!Q109</f>
        <v>67.1535642906318</v>
      </c>
      <c r="Q13" s="618">
        <f>项目公司利润与利润分配表!R109</f>
        <v>996.557918470278</v>
      </c>
      <c r="R13" s="618">
        <f>项目公司利润与利润分配表!S109</f>
        <v>996.110950960182</v>
      </c>
    </row>
    <row r="14" ht="18.75" customHeight="1" spans="1:18">
      <c r="A14" s="355">
        <v>3.3</v>
      </c>
      <c r="B14" s="619" t="s">
        <v>52</v>
      </c>
      <c r="C14" s="618">
        <f t="shared" si="2"/>
        <v>18618.64078679</v>
      </c>
      <c r="D14" s="618"/>
      <c r="E14" s="618"/>
      <c r="F14" s="618"/>
      <c r="G14" s="618">
        <f>项目公司利润与利润分配表!H53</f>
        <v>0</v>
      </c>
      <c r="H14" s="618">
        <f>项目公司利润与利润分配表!I53</f>
        <v>0</v>
      </c>
      <c r="I14" s="618">
        <f>项目公司利润与利润分配表!J53</f>
        <v>0</v>
      </c>
      <c r="J14" s="618">
        <f>项目公司利润与利润分配表!K53</f>
        <v>0</v>
      </c>
      <c r="K14" s="618">
        <f>项目公司利润与利润分配表!L53</f>
        <v>0</v>
      </c>
      <c r="L14" s="618">
        <f>项目公司利润与利润分配表!M53</f>
        <v>0</v>
      </c>
      <c r="M14" s="618">
        <f>项目公司利润与利润分配表!N53</f>
        <v>276.555156171799</v>
      </c>
      <c r="N14" s="618">
        <f>项目公司利润与利润分配表!O53</f>
        <v>812.25096069822</v>
      </c>
      <c r="O14" s="618">
        <f>项目公司利润与利润分配表!P53</f>
        <v>2748.02210653545</v>
      </c>
      <c r="P14" s="618">
        <f>项目公司利润与利润分配表!Q53</f>
        <v>3902.22539235808</v>
      </c>
      <c r="Q14" s="618">
        <f>项目公司利润与利润分配表!R53</f>
        <v>4906.14299346705</v>
      </c>
      <c r="R14" s="618">
        <f>项目公司利润与利润分配表!S53</f>
        <v>5973.44417755945</v>
      </c>
    </row>
    <row r="15" ht="18.75" customHeight="1" spans="1:18">
      <c r="A15" s="355">
        <v>4</v>
      </c>
      <c r="B15" s="601" t="s">
        <v>53</v>
      </c>
      <c r="C15" s="618">
        <f>(C5+C8)*0.2</f>
        <v>246065.253633046</v>
      </c>
      <c r="D15" s="618">
        <f>C15/15</f>
        <v>16404.3502422031</v>
      </c>
      <c r="E15" s="618">
        <f>D15</f>
        <v>16404.3502422031</v>
      </c>
      <c r="F15" s="618">
        <f t="shared" ref="F15:R15" si="3">E15</f>
        <v>16404.3502422031</v>
      </c>
      <c r="G15" s="618">
        <f t="shared" si="3"/>
        <v>16404.3502422031</v>
      </c>
      <c r="H15" s="618">
        <f t="shared" si="3"/>
        <v>16404.3502422031</v>
      </c>
      <c r="I15" s="618">
        <f t="shared" si="3"/>
        <v>16404.3502422031</v>
      </c>
      <c r="J15" s="618">
        <f t="shared" si="3"/>
        <v>16404.3502422031</v>
      </c>
      <c r="K15" s="618">
        <f t="shared" si="3"/>
        <v>16404.3502422031</v>
      </c>
      <c r="L15" s="618">
        <f t="shared" si="3"/>
        <v>16404.3502422031</v>
      </c>
      <c r="M15" s="618">
        <f t="shared" si="3"/>
        <v>16404.3502422031</v>
      </c>
      <c r="N15" s="618">
        <f t="shared" si="3"/>
        <v>16404.3502422031</v>
      </c>
      <c r="O15" s="618">
        <f t="shared" si="3"/>
        <v>16404.3502422031</v>
      </c>
      <c r="P15" s="618">
        <f t="shared" si="3"/>
        <v>16404.3502422031</v>
      </c>
      <c r="Q15" s="618">
        <f t="shared" si="3"/>
        <v>16404.3502422031</v>
      </c>
      <c r="R15" s="618">
        <f t="shared" si="3"/>
        <v>16404.3502422031</v>
      </c>
    </row>
    <row r="16" ht="18.75" customHeight="1" spans="1:18">
      <c r="A16" s="355">
        <v>5</v>
      </c>
      <c r="B16" s="601" t="s">
        <v>54</v>
      </c>
      <c r="C16" s="618">
        <f>SUM(D16:R16)</f>
        <v>1514235.17196646</v>
      </c>
      <c r="D16" s="618">
        <f>D5+D8+D11+D15</f>
        <v>341914.289966003</v>
      </c>
      <c r="E16" s="618">
        <f t="shared" ref="E16:R16" si="4">E5+E8+E11+E15</f>
        <v>298725.446966003</v>
      </c>
      <c r="F16" s="618">
        <f t="shared" si="4"/>
        <v>298725.446966003</v>
      </c>
      <c r="G16" s="618">
        <f t="shared" si="4"/>
        <v>169158.917966003</v>
      </c>
      <c r="H16" s="618">
        <f t="shared" si="4"/>
        <v>169158.917966003</v>
      </c>
      <c r="I16" s="618">
        <f t="shared" si="4"/>
        <v>17578.4323266975</v>
      </c>
      <c r="J16" s="618">
        <f t="shared" si="4"/>
        <v>18301.0317130475</v>
      </c>
      <c r="K16" s="618">
        <f t="shared" si="4"/>
        <v>19548.4402204363</v>
      </c>
      <c r="L16" s="618">
        <f t="shared" si="4"/>
        <v>20077.1226465667</v>
      </c>
      <c r="M16" s="618">
        <f t="shared" si="4"/>
        <v>20346.6949914997</v>
      </c>
      <c r="N16" s="618">
        <f t="shared" si="4"/>
        <v>21185.3034219746</v>
      </c>
      <c r="O16" s="618">
        <f t="shared" si="4"/>
        <v>23486.2382613065</v>
      </c>
      <c r="P16" s="618">
        <f t="shared" si="4"/>
        <v>25267.208147175</v>
      </c>
      <c r="Q16" s="618">
        <f t="shared" si="4"/>
        <v>34729.933132398</v>
      </c>
      <c r="R16" s="618">
        <f t="shared" si="4"/>
        <v>36031.7472753464</v>
      </c>
    </row>
    <row r="17" ht="18.75" customHeight="1" spans="1:18">
      <c r="A17" s="355">
        <v>6</v>
      </c>
      <c r="B17" s="601" t="s">
        <v>55</v>
      </c>
      <c r="C17" s="618"/>
      <c r="D17" s="618">
        <f>1/(1+4.44%)^D4</f>
        <v>0.957487552661815</v>
      </c>
      <c r="E17" s="618">
        <f>1/(1+4.44%)^E4</f>
        <v>0.916782413502313</v>
      </c>
      <c r="F17" s="618">
        <f>1/(1+4.44%)^F4</f>
        <v>0.877807749427722</v>
      </c>
      <c r="G17" s="618">
        <f t="shared" ref="G17:R17" si="5">1/(1+4.44%)^G4</f>
        <v>0.840489993707126</v>
      </c>
      <c r="H17" s="618">
        <f t="shared" si="5"/>
        <v>0.80475870711138</v>
      </c>
      <c r="I17" s="618">
        <f t="shared" si="5"/>
        <v>0.770546444955362</v>
      </c>
      <c r="J17" s="618">
        <f t="shared" si="5"/>
        <v>0.737788629792572</v>
      </c>
      <c r="K17" s="618">
        <f t="shared" si="5"/>
        <v>0.706423429521804</v>
      </c>
      <c r="L17" s="618">
        <f t="shared" si="5"/>
        <v>0.676391640675799</v>
      </c>
      <c r="M17" s="618">
        <f t="shared" si="5"/>
        <v>0.64763657667158</v>
      </c>
      <c r="N17" s="618">
        <f t="shared" si="5"/>
        <v>0.620103960811548</v>
      </c>
      <c r="O17" s="618">
        <f t="shared" si="5"/>
        <v>0.593741823833347</v>
      </c>
      <c r="P17" s="618">
        <f t="shared" si="5"/>
        <v>0.568500405815154</v>
      </c>
      <c r="Q17" s="618">
        <f t="shared" si="5"/>
        <v>0.544332062251201</v>
      </c>
      <c r="R17" s="618">
        <f t="shared" si="5"/>
        <v>0.521191174120261</v>
      </c>
    </row>
    <row r="18" ht="18.75" customHeight="1" spans="1:18">
      <c r="A18" s="355">
        <v>6</v>
      </c>
      <c r="B18" s="601" t="s">
        <v>56</v>
      </c>
      <c r="C18" s="620">
        <f>SUM(D18:R18)</f>
        <v>1288521.26030644</v>
      </c>
      <c r="D18" s="618">
        <f>D16*D17</f>
        <v>327378.676719651</v>
      </c>
      <c r="E18" s="618">
        <f t="shared" ref="E18:R18" si="6">E16*E17</f>
        <v>273866.236244049</v>
      </c>
      <c r="F18" s="618">
        <f t="shared" si="6"/>
        <v>262223.512298017</v>
      </c>
      <c r="G18" s="618">
        <f t="shared" si="6"/>
        <v>142176.37789675</v>
      </c>
      <c r="H18" s="618">
        <f t="shared" si="6"/>
        <v>136132.112118681</v>
      </c>
      <c r="I18" s="618">
        <f t="shared" si="6"/>
        <v>13544.9985372252</v>
      </c>
      <c r="J18" s="618">
        <f t="shared" si="6"/>
        <v>13502.2931113597</v>
      </c>
      <c r="K18" s="618">
        <f t="shared" si="6"/>
        <v>13809.4761823226</v>
      </c>
      <c r="L18" s="618">
        <f t="shared" si="6"/>
        <v>13579.9979269605</v>
      </c>
      <c r="M18" s="618">
        <f t="shared" si="6"/>
        <v>13177.2638908757</v>
      </c>
      <c r="N18" s="618">
        <f t="shared" si="6"/>
        <v>13137.0905629609</v>
      </c>
      <c r="O18" s="618">
        <f t="shared" si="6"/>
        <v>13944.7619402527</v>
      </c>
      <c r="P18" s="618">
        <f t="shared" si="6"/>
        <v>14364.418085485</v>
      </c>
      <c r="Q18" s="618">
        <f t="shared" si="6"/>
        <v>18904.6161238045</v>
      </c>
      <c r="R18" s="618">
        <f t="shared" si="6"/>
        <v>18779.4286680423</v>
      </c>
    </row>
    <row r="22" spans="3:3">
      <c r="C22" s="621"/>
    </row>
  </sheetData>
  <mergeCells count="6">
    <mergeCell ref="A1:R1"/>
    <mergeCell ref="D2:H2"/>
    <mergeCell ref="I2:R2"/>
    <mergeCell ref="A2:A4"/>
    <mergeCell ref="B2:B4"/>
    <mergeCell ref="C2:C4"/>
  </mergeCells>
  <pageMargins left="0.699305555555556" right="0.699305555555556" top="0.75" bottom="0.75" header="0.3" footer="0.3"/>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29"/>
  <sheetViews>
    <sheetView workbookViewId="0">
      <selection activeCell="J20" sqref="J20"/>
    </sheetView>
  </sheetViews>
  <sheetFormatPr defaultColWidth="9" defaultRowHeight="14.25"/>
  <cols>
    <col min="1" max="1" width="4.25" customWidth="1"/>
    <col min="2" max="2" width="29" customWidth="1"/>
    <col min="3" max="3" width="13.125" customWidth="1"/>
    <col min="4" max="8" width="9.375" style="591" customWidth="1"/>
    <col min="9" max="18" width="11.25" style="591" customWidth="1"/>
  </cols>
  <sheetData>
    <row r="1" ht="17.25" spans="1:18">
      <c r="A1" s="592" t="s">
        <v>57</v>
      </c>
      <c r="B1" s="592"/>
      <c r="C1" s="592"/>
      <c r="D1" s="592"/>
      <c r="E1" s="592"/>
      <c r="F1" s="592"/>
      <c r="G1" s="592"/>
      <c r="H1" s="592"/>
      <c r="I1" s="592"/>
      <c r="J1" s="592"/>
      <c r="K1" s="592"/>
      <c r="L1" s="592"/>
      <c r="M1" s="592"/>
      <c r="N1" s="592"/>
      <c r="O1" s="592"/>
      <c r="P1" s="592"/>
      <c r="Q1" s="592"/>
      <c r="R1" s="592"/>
    </row>
    <row r="2" spans="1:18">
      <c r="A2" s="593" t="s">
        <v>1</v>
      </c>
      <c r="B2" s="593" t="s">
        <v>42</v>
      </c>
      <c r="C2" s="594" t="s">
        <v>4</v>
      </c>
      <c r="D2" s="595" t="s">
        <v>5</v>
      </c>
      <c r="E2" s="595"/>
      <c r="F2" s="595"/>
      <c r="G2" s="595"/>
      <c r="H2" s="595"/>
      <c r="I2" s="609" t="s">
        <v>43</v>
      </c>
      <c r="J2" s="610"/>
      <c r="K2" s="610"/>
      <c r="L2" s="610"/>
      <c r="M2" s="610"/>
      <c r="N2" s="610"/>
      <c r="O2" s="610"/>
      <c r="P2" s="610"/>
      <c r="Q2" s="610"/>
      <c r="R2" s="611"/>
    </row>
    <row r="3" spans="1:18">
      <c r="A3" s="596"/>
      <c r="B3" s="596"/>
      <c r="C3" s="597"/>
      <c r="D3" s="598">
        <v>2019</v>
      </c>
      <c r="E3" s="598">
        <v>2020</v>
      </c>
      <c r="F3" s="598">
        <v>2021</v>
      </c>
      <c r="G3" s="598">
        <v>2022</v>
      </c>
      <c r="H3" s="598">
        <v>2023</v>
      </c>
      <c r="I3" s="598">
        <v>2024</v>
      </c>
      <c r="J3" s="598">
        <v>2025</v>
      </c>
      <c r="K3" s="598">
        <v>2026</v>
      </c>
      <c r="L3" s="598">
        <v>2027</v>
      </c>
      <c r="M3" s="598">
        <v>2028</v>
      </c>
      <c r="N3" s="598">
        <v>2029</v>
      </c>
      <c r="O3" s="598">
        <v>2030</v>
      </c>
      <c r="P3" s="598">
        <v>2031</v>
      </c>
      <c r="Q3" s="598">
        <v>2032</v>
      </c>
      <c r="R3" s="598">
        <v>2033</v>
      </c>
    </row>
    <row r="4" spans="1:18">
      <c r="A4" s="599"/>
      <c r="B4" s="599"/>
      <c r="C4" s="597"/>
      <c r="D4" s="598">
        <v>1</v>
      </c>
      <c r="E4" s="600">
        <v>2</v>
      </c>
      <c r="F4" s="600">
        <v>3</v>
      </c>
      <c r="G4" s="600">
        <v>4</v>
      </c>
      <c r="H4" s="598">
        <v>5</v>
      </c>
      <c r="I4" s="600">
        <v>6</v>
      </c>
      <c r="J4" s="598">
        <v>7</v>
      </c>
      <c r="K4" s="600">
        <v>8</v>
      </c>
      <c r="L4" s="598">
        <v>9</v>
      </c>
      <c r="M4" s="600">
        <v>10</v>
      </c>
      <c r="N4" s="598">
        <v>11</v>
      </c>
      <c r="O4" s="600">
        <v>12</v>
      </c>
      <c r="P4" s="598">
        <v>13</v>
      </c>
      <c r="Q4" s="600">
        <v>14</v>
      </c>
      <c r="R4" s="598">
        <v>15</v>
      </c>
    </row>
    <row r="5" ht="18" customHeight="1" spans="1:18">
      <c r="A5" s="74">
        <v>1</v>
      </c>
      <c r="B5" s="601" t="s">
        <v>58</v>
      </c>
      <c r="C5" s="602">
        <f>SUM(D5:H5)</f>
        <v>0</v>
      </c>
      <c r="D5" s="226">
        <f>SUM(D6:D6)</f>
        <v>0</v>
      </c>
      <c r="E5" s="226">
        <f>SUM(E6:E6)</f>
        <v>0</v>
      </c>
      <c r="F5" s="226">
        <f>SUM(F6:F6)</f>
        <v>0</v>
      </c>
      <c r="G5" s="226">
        <f>SUM(G6:G6)</f>
        <v>0</v>
      </c>
      <c r="H5" s="226">
        <f>SUM(H6:H6)</f>
        <v>0</v>
      </c>
      <c r="I5" s="226"/>
      <c r="J5" s="226"/>
      <c r="K5" s="226"/>
      <c r="L5" s="226"/>
      <c r="M5" s="226"/>
      <c r="N5" s="226"/>
      <c r="O5" s="226"/>
      <c r="P5" s="226"/>
      <c r="Q5" s="226"/>
      <c r="R5" s="226"/>
    </row>
    <row r="6" ht="18" customHeight="1" spans="1:18">
      <c r="A6" s="74">
        <v>2</v>
      </c>
      <c r="B6" s="601" t="s">
        <v>59</v>
      </c>
      <c r="C6" s="602">
        <v>0</v>
      </c>
      <c r="D6" s="602">
        <v>0</v>
      </c>
      <c r="E6" s="602">
        <v>0</v>
      </c>
      <c r="F6" s="602">
        <v>0</v>
      </c>
      <c r="G6" s="602">
        <v>0</v>
      </c>
      <c r="H6" s="602">
        <v>0</v>
      </c>
      <c r="I6" s="226"/>
      <c r="J6" s="226"/>
      <c r="K6" s="226"/>
      <c r="L6" s="226"/>
      <c r="M6" s="226"/>
      <c r="N6" s="226"/>
      <c r="O6" s="226"/>
      <c r="P6" s="226"/>
      <c r="Q6" s="226"/>
      <c r="R6" s="226"/>
    </row>
    <row r="7" ht="18" customHeight="1" spans="1:18">
      <c r="A7" s="74">
        <v>3</v>
      </c>
      <c r="B7" s="601" t="s">
        <v>60</v>
      </c>
      <c r="C7" s="602">
        <f>C8-C9</f>
        <v>1691615.82086932</v>
      </c>
      <c r="D7" s="602">
        <f t="shared" ref="D7:R7" si="0">D8-D9</f>
        <v>6379.99481858648</v>
      </c>
      <c r="E7" s="602">
        <f t="shared" si="0"/>
        <v>18293.4831329594</v>
      </c>
      <c r="F7" s="602">
        <f t="shared" si="0"/>
        <v>29360.4701245324</v>
      </c>
      <c r="G7" s="602">
        <f t="shared" si="0"/>
        <v>37887.9531477054</v>
      </c>
      <c r="H7" s="602">
        <f t="shared" si="0"/>
        <v>42837.5626383684</v>
      </c>
      <c r="I7" s="602">
        <f t="shared" si="0"/>
        <v>153706.255513327</v>
      </c>
      <c r="J7" s="602">
        <f t="shared" si="0"/>
        <v>154346.218591827</v>
      </c>
      <c r="K7" s="602">
        <f t="shared" si="0"/>
        <v>155440.617387635</v>
      </c>
      <c r="L7" s="602">
        <f t="shared" si="0"/>
        <v>155904.292320481</v>
      </c>
      <c r="M7" s="602">
        <f t="shared" si="0"/>
        <v>155858.335372082</v>
      </c>
      <c r="N7" s="602">
        <f t="shared" si="0"/>
        <v>156116.765032035</v>
      </c>
      <c r="O7" s="602">
        <f t="shared" si="0"/>
        <v>156426.068542485</v>
      </c>
      <c r="P7" s="602">
        <f t="shared" si="0"/>
        <v>156456.673147125</v>
      </c>
      <c r="Q7" s="602">
        <f t="shared" si="0"/>
        <v>156176.770222485</v>
      </c>
      <c r="R7" s="602">
        <f t="shared" si="0"/>
        <v>156424.360877686</v>
      </c>
    </row>
    <row r="8" ht="18" customHeight="1" spans="1:18">
      <c r="A8" s="74">
        <v>3.1</v>
      </c>
      <c r="B8" s="601" t="s">
        <v>61</v>
      </c>
      <c r="C8" s="602">
        <f>SUM(D8:R8)</f>
        <v>1719924.73686932</v>
      </c>
      <c r="D8" s="226">
        <f>'建设期付息政府付费用估算表 '!V3</f>
        <v>6379.99481858648</v>
      </c>
      <c r="E8" s="226">
        <f>'建设期付息政府付费用估算表 '!V4</f>
        <v>18293.4831329594</v>
      </c>
      <c r="F8" s="226">
        <f>'建设期付息政府付费用估算表 '!V5</f>
        <v>29360.4701245324</v>
      </c>
      <c r="G8" s="226">
        <f>'建设期付息政府付费用估算表 '!V6</f>
        <v>37887.9531477054</v>
      </c>
      <c r="H8" s="226">
        <f>'建设期付息政府付费用估算表 '!V7</f>
        <v>42837.5626383684</v>
      </c>
      <c r="I8" s="226">
        <f>'建设期付息政府付费用估算表 '!V8</f>
        <v>155386.150473327</v>
      </c>
      <c r="J8" s="226">
        <f>'建设期付息政府付费用估算表 '!V9</f>
        <v>156212.513551827</v>
      </c>
      <c r="K8" s="226">
        <f>'建设期付息政府付费用估算表 '!V10</f>
        <v>157742.610667635</v>
      </c>
      <c r="L8" s="226">
        <f>'建设期付息政府付费用估算表 '!X3</f>
        <v>158392.685600481</v>
      </c>
      <c r="M8" s="226">
        <f>'建设期付息政府付费用估算表 '!X4</f>
        <v>158782.426972082</v>
      </c>
      <c r="N8" s="226">
        <f>'建设期付息政府付费用估算表 '!X5</f>
        <v>159227.256632035</v>
      </c>
      <c r="O8" s="226">
        <f>'建设期付息政府付费用估算表 '!X6</f>
        <v>159785.858462485</v>
      </c>
      <c r="P8" s="226">
        <f>'建设期付息政府付费用估算表 '!X7</f>
        <v>159816.463067125</v>
      </c>
      <c r="Q8" s="226">
        <f>'建设期付息政府付费用估算表 '!X8</f>
        <v>159785.858462485</v>
      </c>
      <c r="R8" s="226">
        <f>'建设期付息政府付费用估算表 '!X9</f>
        <v>160033.449117686</v>
      </c>
    </row>
    <row r="9" ht="18" customHeight="1" spans="1:18">
      <c r="A9" s="74">
        <v>3.2</v>
      </c>
      <c r="B9" s="601" t="s">
        <v>48</v>
      </c>
      <c r="C9" s="602">
        <f>SUM(D9:R9)</f>
        <v>28308.916</v>
      </c>
      <c r="D9" s="226">
        <f>使用者付费!F4</f>
        <v>0</v>
      </c>
      <c r="E9" s="226">
        <f>使用者付费!G4</f>
        <v>0</v>
      </c>
      <c r="F9" s="226">
        <f>使用者付费!H4</f>
        <v>0</v>
      </c>
      <c r="G9" s="226">
        <f>使用者付费!I4</f>
        <v>0</v>
      </c>
      <c r="H9" s="226">
        <f>使用者付费!J4</f>
        <v>0</v>
      </c>
      <c r="I9" s="226">
        <f>使用者付费!K4</f>
        <v>1679.89496</v>
      </c>
      <c r="J9" s="226">
        <f>使用者付费!L4</f>
        <v>1866.29496</v>
      </c>
      <c r="K9" s="226">
        <f>使用者付费!M4</f>
        <v>2301.99328</v>
      </c>
      <c r="L9" s="226">
        <f>使用者付费!N4</f>
        <v>2488.39328</v>
      </c>
      <c r="M9" s="226">
        <f>使用者付费!O4</f>
        <v>2924.0916</v>
      </c>
      <c r="N9" s="226">
        <f>使用者付费!P4</f>
        <v>3110.4916</v>
      </c>
      <c r="O9" s="226">
        <f>使用者付费!Q4</f>
        <v>3359.78992</v>
      </c>
      <c r="P9" s="226">
        <f>使用者付费!R4</f>
        <v>3359.78992</v>
      </c>
      <c r="Q9" s="226">
        <f>使用者付费!S4</f>
        <v>3609.08824</v>
      </c>
      <c r="R9" s="226">
        <f>使用者付费!T4</f>
        <v>3609.08824</v>
      </c>
    </row>
    <row r="10" ht="18" customHeight="1" spans="1:18">
      <c r="A10" s="74">
        <v>4</v>
      </c>
      <c r="B10" s="601" t="s">
        <v>62</v>
      </c>
      <c r="C10" s="602">
        <f>'PSC值 (2)'!C15*0.2</f>
        <v>49213.0507266092</v>
      </c>
      <c r="D10" s="226">
        <f>C10/15</f>
        <v>3280.87004844061</v>
      </c>
      <c r="E10" s="226">
        <f>D10</f>
        <v>3280.87004844061</v>
      </c>
      <c r="F10" s="226">
        <f t="shared" ref="F10:R10" si="1">E10</f>
        <v>3280.87004844061</v>
      </c>
      <c r="G10" s="226">
        <f t="shared" si="1"/>
        <v>3280.87004844061</v>
      </c>
      <c r="H10" s="226">
        <f t="shared" si="1"/>
        <v>3280.87004844061</v>
      </c>
      <c r="I10" s="226">
        <f t="shared" si="1"/>
        <v>3280.87004844061</v>
      </c>
      <c r="J10" s="226">
        <f t="shared" si="1"/>
        <v>3280.87004844061</v>
      </c>
      <c r="K10" s="226">
        <f t="shared" si="1"/>
        <v>3280.87004844061</v>
      </c>
      <c r="L10" s="226">
        <f t="shared" si="1"/>
        <v>3280.87004844061</v>
      </c>
      <c r="M10" s="226">
        <f t="shared" si="1"/>
        <v>3280.87004844061</v>
      </c>
      <c r="N10" s="226">
        <f t="shared" si="1"/>
        <v>3280.87004844061</v>
      </c>
      <c r="O10" s="226">
        <f t="shared" si="1"/>
        <v>3280.87004844061</v>
      </c>
      <c r="P10" s="226">
        <f t="shared" si="1"/>
        <v>3280.87004844061</v>
      </c>
      <c r="Q10" s="226">
        <f t="shared" si="1"/>
        <v>3280.87004844061</v>
      </c>
      <c r="R10" s="226">
        <f t="shared" si="1"/>
        <v>3280.87004844061</v>
      </c>
    </row>
    <row r="11" ht="18" customHeight="1" spans="1:18">
      <c r="A11" s="74">
        <v>5</v>
      </c>
      <c r="B11" s="601" t="s">
        <v>63</v>
      </c>
      <c r="C11" s="602">
        <f>SUM(D11:R11)</f>
        <v>1740828.87159593</v>
      </c>
      <c r="D11" s="226">
        <f t="shared" ref="D11:R11" si="2">D5+D6+D7+D10</f>
        <v>9660.86486702709</v>
      </c>
      <c r="E11" s="226">
        <f t="shared" si="2"/>
        <v>21574.3531814001</v>
      </c>
      <c r="F11" s="226">
        <f t="shared" si="2"/>
        <v>32641.340172973</v>
      </c>
      <c r="G11" s="226">
        <f t="shared" si="2"/>
        <v>41168.823196146</v>
      </c>
      <c r="H11" s="226">
        <f t="shared" si="2"/>
        <v>46118.432686809</v>
      </c>
      <c r="I11" s="226">
        <f t="shared" si="2"/>
        <v>156987.125561768</v>
      </c>
      <c r="J11" s="226">
        <f t="shared" si="2"/>
        <v>157627.088640268</v>
      </c>
      <c r="K11" s="226">
        <f t="shared" si="2"/>
        <v>158721.487436076</v>
      </c>
      <c r="L11" s="226">
        <f t="shared" si="2"/>
        <v>159185.162368922</v>
      </c>
      <c r="M11" s="226">
        <f t="shared" si="2"/>
        <v>159139.205420523</v>
      </c>
      <c r="N11" s="226">
        <f t="shared" si="2"/>
        <v>159397.635080476</v>
      </c>
      <c r="O11" s="226">
        <f t="shared" si="2"/>
        <v>159706.938590926</v>
      </c>
      <c r="P11" s="226">
        <f t="shared" si="2"/>
        <v>159737.543195566</v>
      </c>
      <c r="Q11" s="226">
        <f t="shared" si="2"/>
        <v>159457.640270926</v>
      </c>
      <c r="R11" s="226">
        <f t="shared" si="2"/>
        <v>159705.230926127</v>
      </c>
    </row>
    <row r="12" ht="18" customHeight="1" spans="1:18">
      <c r="A12" s="74">
        <v>6</v>
      </c>
      <c r="B12" s="601" t="s">
        <v>55</v>
      </c>
      <c r="C12" s="603" t="s">
        <v>64</v>
      </c>
      <c r="D12" s="604">
        <f>1/(1+4.44%)^D4</f>
        <v>0.957487552661815</v>
      </c>
      <c r="E12" s="604">
        <f t="shared" ref="E12:R12" si="3">1/(1+4.44%)^E4</f>
        <v>0.916782413502313</v>
      </c>
      <c r="F12" s="604">
        <f t="shared" si="3"/>
        <v>0.877807749427722</v>
      </c>
      <c r="G12" s="604">
        <f t="shared" si="3"/>
        <v>0.840489993707126</v>
      </c>
      <c r="H12" s="604">
        <f t="shared" si="3"/>
        <v>0.80475870711138</v>
      </c>
      <c r="I12" s="604">
        <f t="shared" si="3"/>
        <v>0.770546444955362</v>
      </c>
      <c r="J12" s="604">
        <f t="shared" si="3"/>
        <v>0.737788629792572</v>
      </c>
      <c r="K12" s="604">
        <f t="shared" si="3"/>
        <v>0.706423429521804</v>
      </c>
      <c r="L12" s="604">
        <f t="shared" si="3"/>
        <v>0.676391640675799</v>
      </c>
      <c r="M12" s="604">
        <f t="shared" si="3"/>
        <v>0.64763657667158</v>
      </c>
      <c r="N12" s="604">
        <f t="shared" si="3"/>
        <v>0.620103960811548</v>
      </c>
      <c r="O12" s="604">
        <f t="shared" si="3"/>
        <v>0.593741823833347</v>
      </c>
      <c r="P12" s="604">
        <f t="shared" si="3"/>
        <v>0.568500405815154</v>
      </c>
      <c r="Q12" s="604">
        <f t="shared" si="3"/>
        <v>0.544332062251201</v>
      </c>
      <c r="R12" s="604">
        <f t="shared" si="3"/>
        <v>0.521191174120261</v>
      </c>
    </row>
    <row r="13" ht="18" customHeight="1" spans="1:18">
      <c r="A13" s="74">
        <v>7</v>
      </c>
      <c r="B13" s="601" t="s">
        <v>65</v>
      </c>
      <c r="C13" s="602">
        <f>SUM(D13:R13)</f>
        <v>1144033.4820845</v>
      </c>
      <c r="D13" s="226">
        <f>D11*D12</f>
        <v>9250.15785812629</v>
      </c>
      <c r="E13" s="226">
        <f t="shared" ref="E13:R13" si="4">E11*E12</f>
        <v>19778.9875793952</v>
      </c>
      <c r="F13" s="226">
        <f t="shared" si="4"/>
        <v>28652.8213555421</v>
      </c>
      <c r="G13" s="226">
        <f t="shared" si="4"/>
        <v>34601.9839490585</v>
      </c>
      <c r="H13" s="226">
        <f t="shared" si="4"/>
        <v>37114.2102630396</v>
      </c>
      <c r="I13" s="226">
        <f t="shared" si="4"/>
        <v>120965.871505381</v>
      </c>
      <c r="J13" s="226">
        <f t="shared" si="4"/>
        <v>116295.473746096</v>
      </c>
      <c r="K13" s="226">
        <f t="shared" si="4"/>
        <v>112124.577493395</v>
      </c>
      <c r="L13" s="226">
        <f t="shared" si="4"/>
        <v>107671.513145958</v>
      </c>
      <c r="M13" s="226">
        <f t="shared" si="4"/>
        <v>103064.370212783</v>
      </c>
      <c r="N13" s="226">
        <f t="shared" si="4"/>
        <v>98843.1048573969</v>
      </c>
      <c r="O13" s="226">
        <f t="shared" si="4"/>
        <v>94824.6889978167</v>
      </c>
      <c r="P13" s="226">
        <f t="shared" si="4"/>
        <v>90810.8581305949</v>
      </c>
      <c r="Q13" s="226">
        <f t="shared" si="4"/>
        <v>86797.9061703832</v>
      </c>
      <c r="R13" s="226">
        <f t="shared" si="4"/>
        <v>83236.9568195354</v>
      </c>
    </row>
    <row r="14" spans="3:3">
      <c r="C14" s="605"/>
    </row>
    <row r="15" spans="2:3">
      <c r="B15" s="606" t="s">
        <v>66</v>
      </c>
      <c r="C15" s="602">
        <f>'PSC值 (2)'!C18-'PPP值 (2)'!C13</f>
        <v>144487.778221935</v>
      </c>
    </row>
    <row r="16" spans="2:3">
      <c r="B16" s="606" t="s">
        <v>67</v>
      </c>
      <c r="C16" s="607">
        <f>C15/'PSC值 (2)'!C18*100%</f>
        <v>0.112134570591077</v>
      </c>
    </row>
    <row r="18" spans="2:2">
      <c r="B18" s="608"/>
    </row>
    <row r="22" spans="5:5">
      <c r="E22" s="591">
        <f>246065.25*0.8</f>
        <v>196852.2</v>
      </c>
    </row>
    <row r="28" s="591" customFormat="1" spans="1:3">
      <c r="A28"/>
      <c r="B28"/>
      <c r="C28"/>
    </row>
    <row r="29" s="591" customFormat="1" spans="1:3">
      <c r="A29"/>
      <c r="B29"/>
      <c r="C29"/>
    </row>
  </sheetData>
  <mergeCells count="6">
    <mergeCell ref="A1:R1"/>
    <mergeCell ref="D2:H2"/>
    <mergeCell ref="I2:R2"/>
    <mergeCell ref="A2:A4"/>
    <mergeCell ref="B2:B4"/>
    <mergeCell ref="C2:C4"/>
  </mergeCells>
  <pageMargins left="0.699305555555556" right="0.699305555555556" top="0.75" bottom="0.75" header="0.3" footer="0.3"/>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70C0"/>
    <pageSetUpPr fitToPage="1"/>
  </sheetPr>
  <dimension ref="A1:V63"/>
  <sheetViews>
    <sheetView workbookViewId="0">
      <pane xSplit="2" ySplit="4" topLeftCell="I56" activePane="bottomRight" state="frozen"/>
      <selection/>
      <selection pane="topRight"/>
      <selection pane="bottomLeft"/>
      <selection pane="bottomRight" activeCell="T67" sqref="T67"/>
    </sheetView>
  </sheetViews>
  <sheetFormatPr defaultColWidth="9" defaultRowHeight="18.75"/>
  <cols>
    <col min="1" max="1" width="5.875" style="504" customWidth="1"/>
    <col min="2" max="2" width="19" style="505" customWidth="1"/>
    <col min="3" max="3" width="13.75" style="506" customWidth="1"/>
    <col min="4" max="4" width="1.5" style="507" customWidth="1"/>
    <col min="5" max="8" width="8.875" style="222" customWidth="1"/>
    <col min="9" max="9" width="8.75" style="222" customWidth="1"/>
    <col min="10" max="10" width="1.5" style="507" customWidth="1"/>
    <col min="11" max="14" width="8.875" style="222" customWidth="1"/>
    <col min="15" max="15" width="9.5" style="222" customWidth="1"/>
    <col min="16" max="16" width="1.5" style="507" customWidth="1"/>
    <col min="17" max="20" width="8.875" style="222" customWidth="1"/>
    <col min="21" max="21" width="9.5" style="222" customWidth="1"/>
    <col min="22" max="22" width="13.75" style="508" customWidth="1"/>
    <col min="23" max="16384" width="9" style="505"/>
  </cols>
  <sheetData>
    <row r="1" ht="20.25" customHeight="1" spans="1:21">
      <c r="A1" s="509" t="s">
        <v>68</v>
      </c>
      <c r="B1" s="509"/>
      <c r="C1" s="509"/>
      <c r="D1" s="509"/>
      <c r="E1" s="509"/>
      <c r="F1" s="509"/>
      <c r="G1" s="509"/>
      <c r="H1" s="509"/>
      <c r="I1" s="509"/>
      <c r="J1" s="512"/>
      <c r="K1" s="513"/>
      <c r="L1" s="513"/>
      <c r="M1" s="513"/>
      <c r="N1" s="513"/>
      <c r="O1" s="513"/>
      <c r="P1" s="512"/>
      <c r="Q1" s="513"/>
      <c r="R1" s="513"/>
      <c r="S1" s="513"/>
      <c r="T1" s="513"/>
      <c r="U1" s="513"/>
    </row>
    <row r="2" ht="12" customHeight="1" spans="1:21">
      <c r="A2" s="510"/>
      <c r="B2" s="509"/>
      <c r="C2" s="511"/>
      <c r="D2" s="512"/>
      <c r="E2" s="513"/>
      <c r="F2" s="514"/>
      <c r="G2" s="513"/>
      <c r="H2" s="513"/>
      <c r="I2" s="513"/>
      <c r="J2" s="512"/>
      <c r="K2" s="513"/>
      <c r="L2" s="514"/>
      <c r="M2" s="513"/>
      <c r="N2" s="513"/>
      <c r="O2" s="513"/>
      <c r="P2" s="512"/>
      <c r="Q2" s="513"/>
      <c r="R2" s="514"/>
      <c r="S2" s="513"/>
      <c r="T2" s="513"/>
      <c r="U2" s="513"/>
    </row>
    <row r="3" s="503" customFormat="1" customHeight="1" spans="1:22">
      <c r="A3" s="515" t="s">
        <v>1</v>
      </c>
      <c r="B3" s="516" t="s">
        <v>69</v>
      </c>
      <c r="C3" s="517" t="s">
        <v>70</v>
      </c>
      <c r="D3" s="518"/>
      <c r="E3" s="519" t="s">
        <v>71</v>
      </c>
      <c r="F3" s="520"/>
      <c r="G3" s="520"/>
      <c r="H3" s="521"/>
      <c r="I3" s="566" t="s">
        <v>70</v>
      </c>
      <c r="J3" s="518"/>
      <c r="K3" s="519" t="s">
        <v>72</v>
      </c>
      <c r="L3" s="520"/>
      <c r="M3" s="520"/>
      <c r="N3" s="521"/>
      <c r="O3" s="566" t="s">
        <v>70</v>
      </c>
      <c r="P3" s="518"/>
      <c r="Q3" s="519" t="s">
        <v>73</v>
      </c>
      <c r="R3" s="520"/>
      <c r="S3" s="520"/>
      <c r="T3" s="521"/>
      <c r="U3" s="566" t="s">
        <v>70</v>
      </c>
      <c r="V3" s="516" t="s">
        <v>74</v>
      </c>
    </row>
    <row r="4" s="503" customFormat="1" spans="1:22">
      <c r="A4" s="515"/>
      <c r="B4" s="522"/>
      <c r="C4" s="517"/>
      <c r="D4" s="518"/>
      <c r="E4" s="517" t="s">
        <v>75</v>
      </c>
      <c r="F4" s="517" t="s">
        <v>76</v>
      </c>
      <c r="G4" s="517" t="s">
        <v>77</v>
      </c>
      <c r="H4" s="517" t="s">
        <v>78</v>
      </c>
      <c r="I4" s="567"/>
      <c r="J4" s="518"/>
      <c r="K4" s="517" t="s">
        <v>75</v>
      </c>
      <c r="L4" s="517" t="s">
        <v>76</v>
      </c>
      <c r="M4" s="517" t="s">
        <v>77</v>
      </c>
      <c r="N4" s="517" t="s">
        <v>78</v>
      </c>
      <c r="O4" s="567"/>
      <c r="P4" s="518"/>
      <c r="Q4" s="517" t="s">
        <v>75</v>
      </c>
      <c r="R4" s="517" t="s">
        <v>76</v>
      </c>
      <c r="S4" s="517" t="s">
        <v>77</v>
      </c>
      <c r="T4" s="517" t="s">
        <v>78</v>
      </c>
      <c r="U4" s="567"/>
      <c r="V4" s="522"/>
    </row>
    <row r="5" s="503" customFormat="1" ht="24" customHeight="1" spans="1:22">
      <c r="A5" s="523" t="s">
        <v>79</v>
      </c>
      <c r="B5" s="524" t="s">
        <v>80</v>
      </c>
      <c r="C5" s="525">
        <f>I5+O5+U5</f>
        <v>720442.73</v>
      </c>
      <c r="D5" s="526"/>
      <c r="E5" s="527"/>
      <c r="F5" s="527"/>
      <c r="G5" s="527"/>
      <c r="H5" s="527"/>
      <c r="I5" s="527">
        <f>SUM(I6:I15)</f>
        <v>227454.12</v>
      </c>
      <c r="J5" s="568"/>
      <c r="K5" s="527"/>
      <c r="L5" s="527"/>
      <c r="M5" s="527"/>
      <c r="N5" s="527"/>
      <c r="O5" s="527">
        <f>SUM(O6:O15)</f>
        <v>123564.21</v>
      </c>
      <c r="P5" s="568"/>
      <c r="Q5" s="527"/>
      <c r="R5" s="527"/>
      <c r="S5" s="527"/>
      <c r="T5" s="527"/>
      <c r="U5" s="527">
        <f>SUM(U6:U15)</f>
        <v>369424.4</v>
      </c>
      <c r="V5" s="585"/>
    </row>
    <row r="6" ht="24" customHeight="1" spans="1:22">
      <c r="A6" s="528" t="s">
        <v>81</v>
      </c>
      <c r="B6" s="529" t="s">
        <v>82</v>
      </c>
      <c r="C6" s="525">
        <f t="shared" ref="C6:C55" si="0">I6+O6+U6</f>
        <v>156407.22</v>
      </c>
      <c r="D6" s="530"/>
      <c r="E6" s="527">
        <v>43759.35</v>
      </c>
      <c r="F6" s="527"/>
      <c r="G6" s="527"/>
      <c r="H6" s="527"/>
      <c r="I6" s="527">
        <f>SUM(E6:H6)</f>
        <v>43759.35</v>
      </c>
      <c r="J6" s="569"/>
      <c r="K6" s="527">
        <v>51284.1</v>
      </c>
      <c r="L6" s="527"/>
      <c r="M6" s="527"/>
      <c r="N6" s="527"/>
      <c r="O6" s="527">
        <f>SUM(K6:N6)</f>
        <v>51284.1</v>
      </c>
      <c r="P6" s="569"/>
      <c r="Q6" s="527">
        <v>61363.77</v>
      </c>
      <c r="R6" s="527"/>
      <c r="S6" s="527"/>
      <c r="T6" s="527"/>
      <c r="U6" s="527">
        <f>SUM(Q6:T6)</f>
        <v>61363.77</v>
      </c>
      <c r="V6" s="586"/>
    </row>
    <row r="7" ht="24" customHeight="1" spans="1:22">
      <c r="A7" s="528" t="s">
        <v>83</v>
      </c>
      <c r="B7" s="529" t="s">
        <v>84</v>
      </c>
      <c r="C7" s="525">
        <f t="shared" si="0"/>
        <v>349985.06</v>
      </c>
      <c r="D7" s="530"/>
      <c r="E7" s="527">
        <v>50712.75</v>
      </c>
      <c r="F7" s="527"/>
      <c r="G7" s="527"/>
      <c r="H7" s="527"/>
      <c r="I7" s="527">
        <f t="shared" ref="I7:I15" si="1">SUM(E7:H7)</f>
        <v>50712.75</v>
      </c>
      <c r="J7" s="569"/>
      <c r="K7" s="527">
        <v>53098.69</v>
      </c>
      <c r="L7" s="527"/>
      <c r="M7" s="527"/>
      <c r="N7" s="527"/>
      <c r="O7" s="527">
        <f t="shared" ref="O7:O15" si="2">SUM(K7:N7)</f>
        <v>53098.69</v>
      </c>
      <c r="P7" s="569"/>
      <c r="Q7" s="527">
        <v>246173.62</v>
      </c>
      <c r="R7" s="527"/>
      <c r="S7" s="527"/>
      <c r="T7" s="527"/>
      <c r="U7" s="527">
        <f t="shared" ref="U7:U15" si="3">SUM(Q7:T7)</f>
        <v>246173.62</v>
      </c>
      <c r="V7" s="586"/>
    </row>
    <row r="8" ht="24" customHeight="1" spans="1:22">
      <c r="A8" s="528" t="s">
        <v>85</v>
      </c>
      <c r="B8" s="529" t="s">
        <v>86</v>
      </c>
      <c r="C8" s="525">
        <f t="shared" si="0"/>
        <v>2131.23</v>
      </c>
      <c r="D8" s="530"/>
      <c r="E8" s="527">
        <v>1394.25</v>
      </c>
      <c r="F8" s="527"/>
      <c r="G8" s="527"/>
      <c r="H8" s="527"/>
      <c r="I8" s="527">
        <f t="shared" si="1"/>
        <v>1394.25</v>
      </c>
      <c r="J8" s="569"/>
      <c r="K8" s="527">
        <v>736.98</v>
      </c>
      <c r="L8" s="527"/>
      <c r="M8" s="527"/>
      <c r="N8" s="527"/>
      <c r="O8" s="527">
        <f t="shared" si="2"/>
        <v>736.98</v>
      </c>
      <c r="P8" s="569"/>
      <c r="Q8" s="527"/>
      <c r="R8" s="527"/>
      <c r="S8" s="527"/>
      <c r="T8" s="527"/>
      <c r="U8" s="527">
        <f t="shared" si="3"/>
        <v>0</v>
      </c>
      <c r="V8" s="586"/>
    </row>
    <row r="9" ht="24" customHeight="1" spans="1:22">
      <c r="A9" s="528" t="s">
        <v>87</v>
      </c>
      <c r="B9" s="531" t="s">
        <v>88</v>
      </c>
      <c r="C9" s="525">
        <f t="shared" si="0"/>
        <v>110880</v>
      </c>
      <c r="D9" s="530"/>
      <c r="E9" s="527">
        <v>110880</v>
      </c>
      <c r="F9" s="527"/>
      <c r="G9" s="527"/>
      <c r="H9" s="527"/>
      <c r="I9" s="527">
        <f t="shared" si="1"/>
        <v>110880</v>
      </c>
      <c r="J9" s="569"/>
      <c r="K9" s="527"/>
      <c r="L9" s="527"/>
      <c r="M9" s="527"/>
      <c r="N9" s="527"/>
      <c r="O9" s="527">
        <f t="shared" si="2"/>
        <v>0</v>
      </c>
      <c r="P9" s="569"/>
      <c r="Q9" s="527"/>
      <c r="R9" s="527"/>
      <c r="S9" s="527"/>
      <c r="T9" s="527"/>
      <c r="U9" s="527">
        <f t="shared" si="3"/>
        <v>0</v>
      </c>
      <c r="V9" s="586"/>
    </row>
    <row r="10" ht="24" customHeight="1" spans="1:22">
      <c r="A10" s="528" t="s">
        <v>89</v>
      </c>
      <c r="B10" s="529" t="s">
        <v>90</v>
      </c>
      <c r="C10" s="525">
        <f t="shared" si="0"/>
        <v>17760.77</v>
      </c>
      <c r="D10" s="530"/>
      <c r="E10" s="527">
        <v>4538.19</v>
      </c>
      <c r="F10" s="527"/>
      <c r="G10" s="527"/>
      <c r="H10" s="527"/>
      <c r="I10" s="527">
        <f t="shared" si="1"/>
        <v>4538.19</v>
      </c>
      <c r="J10" s="569"/>
      <c r="K10" s="527">
        <v>4809.72</v>
      </c>
      <c r="L10" s="527"/>
      <c r="M10" s="527"/>
      <c r="N10" s="527"/>
      <c r="O10" s="527">
        <f t="shared" si="2"/>
        <v>4809.72</v>
      </c>
      <c r="P10" s="569"/>
      <c r="Q10" s="527">
        <v>8412.86</v>
      </c>
      <c r="R10" s="527"/>
      <c r="S10" s="527"/>
      <c r="T10" s="527"/>
      <c r="U10" s="527">
        <f t="shared" si="3"/>
        <v>8412.86</v>
      </c>
      <c r="V10" s="586"/>
    </row>
    <row r="11" ht="24" customHeight="1" spans="1:22">
      <c r="A11" s="528" t="s">
        <v>91</v>
      </c>
      <c r="B11" s="529" t="s">
        <v>92</v>
      </c>
      <c r="C11" s="525">
        <f t="shared" si="0"/>
        <v>29177.74</v>
      </c>
      <c r="D11" s="530"/>
      <c r="E11" s="527">
        <v>3937.66</v>
      </c>
      <c r="F11" s="527"/>
      <c r="G11" s="527"/>
      <c r="H11" s="527"/>
      <c r="I11" s="527">
        <f t="shared" si="1"/>
        <v>3937.66</v>
      </c>
      <c r="J11" s="569"/>
      <c r="K11" s="527">
        <v>6492.09</v>
      </c>
      <c r="L11" s="527"/>
      <c r="M11" s="527"/>
      <c r="N11" s="527"/>
      <c r="O11" s="527">
        <f t="shared" si="2"/>
        <v>6492.09</v>
      </c>
      <c r="P11" s="569"/>
      <c r="Q11" s="527">
        <v>18747.99</v>
      </c>
      <c r="R11" s="527"/>
      <c r="S11" s="527"/>
      <c r="T11" s="527"/>
      <c r="U11" s="527">
        <f t="shared" si="3"/>
        <v>18747.99</v>
      </c>
      <c r="V11" s="563"/>
    </row>
    <row r="12" ht="24" customHeight="1" spans="1:22">
      <c r="A12" s="528" t="s">
        <v>93</v>
      </c>
      <c r="B12" s="529" t="s">
        <v>94</v>
      </c>
      <c r="C12" s="525">
        <f t="shared" si="0"/>
        <v>36034.51</v>
      </c>
      <c r="D12" s="530"/>
      <c r="E12" s="527"/>
      <c r="F12" s="527"/>
      <c r="G12" s="527">
        <v>7531.03</v>
      </c>
      <c r="H12" s="527"/>
      <c r="I12" s="527">
        <f t="shared" si="1"/>
        <v>7531.03</v>
      </c>
      <c r="J12" s="569"/>
      <c r="K12" s="527"/>
      <c r="L12" s="527"/>
      <c r="M12" s="527">
        <v>2958.9</v>
      </c>
      <c r="N12" s="527"/>
      <c r="O12" s="527">
        <f t="shared" si="2"/>
        <v>2958.9</v>
      </c>
      <c r="P12" s="569"/>
      <c r="Q12" s="527"/>
      <c r="R12" s="527"/>
      <c r="S12" s="527">
        <v>25544.58</v>
      </c>
      <c r="T12" s="527"/>
      <c r="U12" s="527">
        <f t="shared" si="3"/>
        <v>25544.58</v>
      </c>
      <c r="V12" s="586"/>
    </row>
    <row r="13" s="503" customFormat="1" ht="24" customHeight="1" spans="1:22">
      <c r="A13" s="528" t="s">
        <v>95</v>
      </c>
      <c r="B13" s="529" t="s">
        <v>96</v>
      </c>
      <c r="C13" s="525">
        <f t="shared" si="0"/>
        <v>15320.55</v>
      </c>
      <c r="D13" s="530"/>
      <c r="E13" s="527">
        <v>3683.24</v>
      </c>
      <c r="F13" s="527"/>
      <c r="G13" s="527"/>
      <c r="H13" s="527"/>
      <c r="I13" s="527">
        <f t="shared" si="1"/>
        <v>3683.24</v>
      </c>
      <c r="J13" s="569"/>
      <c r="K13" s="527">
        <v>3675.73</v>
      </c>
      <c r="L13" s="527"/>
      <c r="M13" s="527"/>
      <c r="N13" s="527"/>
      <c r="O13" s="527">
        <f t="shared" si="2"/>
        <v>3675.73</v>
      </c>
      <c r="P13" s="569"/>
      <c r="Q13" s="527">
        <v>7961.58</v>
      </c>
      <c r="R13" s="527"/>
      <c r="S13" s="527"/>
      <c r="T13" s="527"/>
      <c r="U13" s="527">
        <f t="shared" si="3"/>
        <v>7961.58</v>
      </c>
      <c r="V13" s="586"/>
    </row>
    <row r="14" ht="24" customHeight="1" spans="1:22">
      <c r="A14" s="528" t="s">
        <v>97</v>
      </c>
      <c r="B14" s="529" t="s">
        <v>98</v>
      </c>
      <c r="C14" s="525">
        <f t="shared" si="0"/>
        <v>2395.6</v>
      </c>
      <c r="D14" s="532"/>
      <c r="E14" s="533">
        <v>875.6</v>
      </c>
      <c r="F14" s="533"/>
      <c r="G14" s="533"/>
      <c r="H14" s="533"/>
      <c r="I14" s="527">
        <f t="shared" si="1"/>
        <v>875.6</v>
      </c>
      <c r="J14" s="570"/>
      <c r="K14" s="533">
        <v>400</v>
      </c>
      <c r="L14" s="533"/>
      <c r="M14" s="533"/>
      <c r="N14" s="533"/>
      <c r="O14" s="527">
        <f t="shared" si="2"/>
        <v>400</v>
      </c>
      <c r="P14" s="570"/>
      <c r="Q14" s="533">
        <v>1120</v>
      </c>
      <c r="R14" s="533"/>
      <c r="S14" s="533"/>
      <c r="T14" s="533"/>
      <c r="U14" s="527">
        <f t="shared" si="3"/>
        <v>1120</v>
      </c>
      <c r="V14" s="585"/>
    </row>
    <row r="15" ht="24" customHeight="1" spans="1:22">
      <c r="A15" s="528" t="s">
        <v>99</v>
      </c>
      <c r="B15" s="529" t="s">
        <v>100</v>
      </c>
      <c r="C15" s="525">
        <f t="shared" si="0"/>
        <v>350.05</v>
      </c>
      <c r="D15" s="532"/>
      <c r="E15" s="527">
        <v>142.05</v>
      </c>
      <c r="F15" s="527"/>
      <c r="G15" s="527"/>
      <c r="H15" s="527"/>
      <c r="I15" s="527">
        <f t="shared" si="1"/>
        <v>142.05</v>
      </c>
      <c r="J15" s="570"/>
      <c r="K15" s="527">
        <v>108</v>
      </c>
      <c r="L15" s="527"/>
      <c r="M15" s="527"/>
      <c r="N15" s="527"/>
      <c r="O15" s="527">
        <f t="shared" si="2"/>
        <v>108</v>
      </c>
      <c r="P15" s="570"/>
      <c r="Q15" s="527">
        <v>100</v>
      </c>
      <c r="R15" s="527"/>
      <c r="S15" s="527"/>
      <c r="T15" s="527"/>
      <c r="U15" s="527">
        <f t="shared" si="3"/>
        <v>100</v>
      </c>
      <c r="V15" s="563" t="s">
        <v>101</v>
      </c>
    </row>
    <row r="16" ht="24" customHeight="1" spans="1:22">
      <c r="A16" s="534" t="s">
        <v>102</v>
      </c>
      <c r="B16" s="535" t="s">
        <v>103</v>
      </c>
      <c r="C16" s="525">
        <f t="shared" si="0"/>
        <v>511372.9716</v>
      </c>
      <c r="D16" s="131"/>
      <c r="E16" s="527"/>
      <c r="F16" s="527"/>
      <c r="G16" s="527"/>
      <c r="H16" s="527"/>
      <c r="I16" s="527">
        <f>SUM(I17,I20,I23,I28,I32,I33,I34,I35,I36,I41,I42,I43,I44,I47,I48,I52)</f>
        <v>97858.4474</v>
      </c>
      <c r="J16" s="571"/>
      <c r="K16" s="527"/>
      <c r="L16" s="527"/>
      <c r="M16" s="527"/>
      <c r="N16" s="527"/>
      <c r="O16" s="527">
        <f>SUM(O17,O20,O23,O28,O32,O33,O34,O35,O36,O41,O42,O43,O44,O47,O48,O52)</f>
        <v>120047.3652</v>
      </c>
      <c r="P16" s="571"/>
      <c r="Q16" s="527"/>
      <c r="R16" s="527"/>
      <c r="S16" s="527"/>
      <c r="T16" s="527"/>
      <c r="U16" s="527">
        <f>SUM(U17,U20,U23,U28,U32,U33,U34,U35,U36,U41,U42,U43,U44,U47,U48,U52)</f>
        <v>293467.159</v>
      </c>
      <c r="V16" s="586"/>
    </row>
    <row r="17" ht="24" customHeight="1" spans="1:22">
      <c r="A17" s="536" t="s">
        <v>81</v>
      </c>
      <c r="B17" s="537" t="s">
        <v>24</v>
      </c>
      <c r="C17" s="525">
        <f t="shared" si="0"/>
        <v>431888.43</v>
      </c>
      <c r="D17" s="538"/>
      <c r="E17" s="527"/>
      <c r="F17" s="527"/>
      <c r="G17" s="527"/>
      <c r="H17" s="527"/>
      <c r="I17" s="572">
        <f>SUM(I18:I19)</f>
        <v>75500.59</v>
      </c>
      <c r="J17" s="132"/>
      <c r="K17" s="527">
        <f>I16-I17</f>
        <v>22357.8574</v>
      </c>
      <c r="L17" s="527"/>
      <c r="M17" s="527"/>
      <c r="N17" s="527"/>
      <c r="O17" s="572">
        <v>105034.59</v>
      </c>
      <c r="P17" s="132"/>
      <c r="Q17" s="527"/>
      <c r="R17" s="527"/>
      <c r="S17" s="527"/>
      <c r="T17" s="527"/>
      <c r="U17" s="572">
        <v>251353.25</v>
      </c>
      <c r="V17" s="586"/>
    </row>
    <row r="18" ht="24" hidden="1" customHeight="1" spans="1:22">
      <c r="A18" s="536">
        <v>1</v>
      </c>
      <c r="B18" s="537" t="str">
        <f>[1]征地拆迁!B4</f>
        <v>征地拆迁补偿</v>
      </c>
      <c r="C18" s="525">
        <f t="shared" si="0"/>
        <v>382725.72</v>
      </c>
      <c r="D18" s="538"/>
      <c r="E18" s="539" t="s">
        <v>104</v>
      </c>
      <c r="F18" s="540"/>
      <c r="G18" s="540"/>
      <c r="H18" s="541"/>
      <c r="I18" s="527">
        <v>68396.79</v>
      </c>
      <c r="J18" s="132"/>
      <c r="K18" s="539" t="s">
        <v>105</v>
      </c>
      <c r="L18" s="540"/>
      <c r="M18" s="540"/>
      <c r="N18" s="541"/>
      <c r="O18" s="527">
        <v>94057.68</v>
      </c>
      <c r="P18" s="132"/>
      <c r="Q18" s="539" t="s">
        <v>105</v>
      </c>
      <c r="R18" s="540"/>
      <c r="S18" s="540"/>
      <c r="T18" s="541"/>
      <c r="U18" s="572">
        <v>220271.25</v>
      </c>
      <c r="V18" s="586"/>
    </row>
    <row r="19" ht="24" hidden="1" customHeight="1" spans="1:22">
      <c r="A19" s="536">
        <v>2</v>
      </c>
      <c r="B19" s="537" t="str">
        <f>[1]征地拆迁!B43</f>
        <v>管线搬迁及补偿</v>
      </c>
      <c r="C19" s="525">
        <f t="shared" si="0"/>
        <v>49069.4</v>
      </c>
      <c r="D19" s="538"/>
      <c r="E19" s="527"/>
      <c r="F19" s="527"/>
      <c r="G19" s="527"/>
      <c r="H19" s="527"/>
      <c r="I19" s="527">
        <v>7103.8</v>
      </c>
      <c r="J19" s="132"/>
      <c r="K19" s="527"/>
      <c r="L19" s="527"/>
      <c r="M19" s="527"/>
      <c r="N19" s="527"/>
      <c r="O19" s="527">
        <v>11068.6</v>
      </c>
      <c r="P19" s="132"/>
      <c r="Q19" s="527"/>
      <c r="R19" s="527"/>
      <c r="S19" s="527"/>
      <c r="T19" s="527"/>
      <c r="U19" s="576">
        <v>30897</v>
      </c>
      <c r="V19" s="586"/>
    </row>
    <row r="20" ht="24" customHeight="1" spans="1:22">
      <c r="A20" s="536" t="s">
        <v>83</v>
      </c>
      <c r="B20" s="537" t="s">
        <v>106</v>
      </c>
      <c r="C20" s="525">
        <f t="shared" si="0"/>
        <v>15319.87</v>
      </c>
      <c r="D20" s="538"/>
      <c r="E20" s="527"/>
      <c r="F20" s="527"/>
      <c r="G20" s="527"/>
      <c r="H20" s="527"/>
      <c r="I20" s="527">
        <f>SUM(I21:I22)</f>
        <v>4846.85</v>
      </c>
      <c r="J20" s="132"/>
      <c r="K20" s="527"/>
      <c r="L20" s="527"/>
      <c r="M20" s="527"/>
      <c r="N20" s="527"/>
      <c r="O20" s="527">
        <f>SUM(O21:O22)</f>
        <v>3346.17</v>
      </c>
      <c r="P20" s="132"/>
      <c r="Q20" s="527"/>
      <c r="R20" s="527"/>
      <c r="S20" s="527"/>
      <c r="T20" s="527"/>
      <c r="U20" s="527">
        <f>SUM(U21:U22)</f>
        <v>7126.85</v>
      </c>
      <c r="V20" s="586"/>
    </row>
    <row r="21" ht="32.25" customHeight="1" spans="1:22">
      <c r="A21" s="536">
        <v>1</v>
      </c>
      <c r="B21" s="542" t="s">
        <v>107</v>
      </c>
      <c r="C21" s="525">
        <f t="shared" si="0"/>
        <v>5028.77</v>
      </c>
      <c r="D21" s="538"/>
      <c r="E21" s="539" t="s">
        <v>108</v>
      </c>
      <c r="F21" s="540"/>
      <c r="G21" s="540"/>
      <c r="H21" s="541"/>
      <c r="I21" s="527">
        <v>1589.21</v>
      </c>
      <c r="J21" s="132"/>
      <c r="K21" s="573" t="s">
        <v>109</v>
      </c>
      <c r="L21" s="574"/>
      <c r="M21" s="574"/>
      <c r="N21" s="575"/>
      <c r="O21" s="576">
        <v>1171.1</v>
      </c>
      <c r="P21" s="132"/>
      <c r="Q21" s="539" t="s">
        <v>108</v>
      </c>
      <c r="R21" s="540"/>
      <c r="S21" s="540"/>
      <c r="T21" s="541"/>
      <c r="U21" s="527">
        <v>2268.46</v>
      </c>
      <c r="V21" s="563" t="s">
        <v>110</v>
      </c>
    </row>
    <row r="22" ht="46.5" customHeight="1" spans="1:22">
      <c r="A22" s="536">
        <v>2</v>
      </c>
      <c r="B22" s="542" t="s">
        <v>111</v>
      </c>
      <c r="C22" s="525">
        <f t="shared" si="0"/>
        <v>10291.1</v>
      </c>
      <c r="D22" s="538"/>
      <c r="E22" s="539" t="s">
        <v>112</v>
      </c>
      <c r="F22" s="540"/>
      <c r="G22" s="540"/>
      <c r="H22" s="541"/>
      <c r="I22" s="527">
        <v>3257.64</v>
      </c>
      <c r="J22" s="132"/>
      <c r="K22" s="539" t="s">
        <v>113</v>
      </c>
      <c r="L22" s="540"/>
      <c r="M22" s="540"/>
      <c r="N22" s="541"/>
      <c r="O22" s="527">
        <v>2175.07</v>
      </c>
      <c r="P22" s="132"/>
      <c r="Q22" s="539" t="s">
        <v>113</v>
      </c>
      <c r="R22" s="540"/>
      <c r="S22" s="540"/>
      <c r="T22" s="541"/>
      <c r="U22" s="527">
        <v>4858.39</v>
      </c>
      <c r="V22" s="563" t="s">
        <v>114</v>
      </c>
    </row>
    <row r="23" ht="24" customHeight="1" spans="1:22">
      <c r="A23" s="536" t="s">
        <v>85</v>
      </c>
      <c r="B23" s="542" t="s">
        <v>115</v>
      </c>
      <c r="C23" s="525">
        <f t="shared" si="0"/>
        <v>553.86</v>
      </c>
      <c r="D23" s="538"/>
      <c r="E23" s="539" t="s">
        <v>116</v>
      </c>
      <c r="F23" s="540"/>
      <c r="G23" s="540"/>
      <c r="H23" s="541"/>
      <c r="I23" s="527">
        <f>SUM(I24:I27)</f>
        <v>180.33</v>
      </c>
      <c r="J23" s="132"/>
      <c r="K23" s="539" t="s">
        <v>117</v>
      </c>
      <c r="L23" s="540"/>
      <c r="M23" s="540"/>
      <c r="N23" s="541"/>
      <c r="O23" s="527">
        <f>SUM(O24:O27)</f>
        <v>151</v>
      </c>
      <c r="P23" s="132"/>
      <c r="Q23" s="539" t="s">
        <v>117</v>
      </c>
      <c r="R23" s="540"/>
      <c r="S23" s="540"/>
      <c r="T23" s="541"/>
      <c r="U23" s="527">
        <f>SUM(U24:U27)</f>
        <v>222.53</v>
      </c>
      <c r="V23" s="563"/>
    </row>
    <row r="24" ht="24" customHeight="1" spans="1:22">
      <c r="A24" s="536">
        <v>1</v>
      </c>
      <c r="B24" s="542" t="s">
        <v>118</v>
      </c>
      <c r="C24" s="525">
        <f t="shared" si="0"/>
        <v>157.92</v>
      </c>
      <c r="D24" s="538"/>
      <c r="E24" s="527"/>
      <c r="F24" s="527"/>
      <c r="G24" s="527"/>
      <c r="H24" s="527"/>
      <c r="I24" s="527">
        <v>51.28</v>
      </c>
      <c r="J24" s="132"/>
      <c r="K24" s="527"/>
      <c r="L24" s="527"/>
      <c r="M24" s="527"/>
      <c r="N24" s="527"/>
      <c r="O24" s="527">
        <v>41.99</v>
      </c>
      <c r="P24" s="132"/>
      <c r="Q24" s="527"/>
      <c r="R24" s="527"/>
      <c r="S24" s="527"/>
      <c r="T24" s="527"/>
      <c r="U24" s="527">
        <v>64.65</v>
      </c>
      <c r="V24" s="563"/>
    </row>
    <row r="25" ht="24" customHeight="1" spans="1:22">
      <c r="A25" s="536">
        <v>2</v>
      </c>
      <c r="B25" s="542" t="s">
        <v>119</v>
      </c>
      <c r="C25" s="525">
        <f t="shared" si="0"/>
        <v>315.84</v>
      </c>
      <c r="D25" s="538"/>
      <c r="E25" s="527"/>
      <c r="F25" s="527"/>
      <c r="G25" s="527"/>
      <c r="H25" s="527"/>
      <c r="I25" s="527">
        <v>102.56</v>
      </c>
      <c r="J25" s="132"/>
      <c r="K25" s="527"/>
      <c r="L25" s="527"/>
      <c r="M25" s="527"/>
      <c r="N25" s="527"/>
      <c r="O25" s="527">
        <v>83.97</v>
      </c>
      <c r="P25" s="132"/>
      <c r="Q25" s="527"/>
      <c r="R25" s="527"/>
      <c r="S25" s="527"/>
      <c r="T25" s="527"/>
      <c r="U25" s="527">
        <v>129.31</v>
      </c>
      <c r="V25" s="586"/>
    </row>
    <row r="26" ht="24" customHeight="1" spans="1:22">
      <c r="A26" s="536">
        <v>3</v>
      </c>
      <c r="B26" s="542" t="s">
        <v>120</v>
      </c>
      <c r="C26" s="525">
        <f t="shared" si="0"/>
        <v>33.38</v>
      </c>
      <c r="D26" s="538"/>
      <c r="E26" s="527"/>
      <c r="F26" s="527"/>
      <c r="G26" s="527"/>
      <c r="H26" s="527"/>
      <c r="I26" s="527">
        <v>11.07</v>
      </c>
      <c r="J26" s="132"/>
      <c r="K26" s="527"/>
      <c r="L26" s="527"/>
      <c r="M26" s="527"/>
      <c r="N26" s="527"/>
      <c r="O26" s="527">
        <v>10.65</v>
      </c>
      <c r="P26" s="132"/>
      <c r="Q26" s="527"/>
      <c r="R26" s="527"/>
      <c r="S26" s="527"/>
      <c r="T26" s="527"/>
      <c r="U26" s="527">
        <v>11.66</v>
      </c>
      <c r="V26" s="586"/>
    </row>
    <row r="27" ht="24" customHeight="1" spans="1:22">
      <c r="A27" s="536">
        <v>4</v>
      </c>
      <c r="B27" s="542" t="s">
        <v>121</v>
      </c>
      <c r="C27" s="525">
        <f t="shared" si="0"/>
        <v>46.72</v>
      </c>
      <c r="D27" s="538"/>
      <c r="E27" s="527"/>
      <c r="F27" s="527"/>
      <c r="G27" s="527"/>
      <c r="H27" s="527"/>
      <c r="I27" s="527">
        <v>15.42</v>
      </c>
      <c r="J27" s="132"/>
      <c r="K27" s="527"/>
      <c r="L27" s="527"/>
      <c r="M27" s="527"/>
      <c r="N27" s="527"/>
      <c r="O27" s="527">
        <v>14.39</v>
      </c>
      <c r="P27" s="132"/>
      <c r="Q27" s="527"/>
      <c r="R27" s="527"/>
      <c r="S27" s="527"/>
      <c r="T27" s="527"/>
      <c r="U27" s="527">
        <v>16.91</v>
      </c>
      <c r="V27" s="586"/>
    </row>
    <row r="28" s="503" customFormat="1" ht="24" customHeight="1" spans="1:22">
      <c r="A28" s="536" t="s">
        <v>87</v>
      </c>
      <c r="B28" s="542" t="s">
        <v>122</v>
      </c>
      <c r="C28" s="525">
        <f t="shared" si="0"/>
        <v>26072.977</v>
      </c>
      <c r="D28" s="538"/>
      <c r="E28" s="539" t="s">
        <v>123</v>
      </c>
      <c r="F28" s="540"/>
      <c r="G28" s="540"/>
      <c r="H28" s="541"/>
      <c r="I28" s="527">
        <f>SUM(I29:I31)</f>
        <v>8031.475</v>
      </c>
      <c r="J28" s="132"/>
      <c r="K28" s="539" t="s">
        <v>124</v>
      </c>
      <c r="L28" s="540"/>
      <c r="M28" s="540"/>
      <c r="N28" s="541"/>
      <c r="O28" s="527">
        <f>SUM(O29:O31)</f>
        <v>4173.401</v>
      </c>
      <c r="P28" s="132"/>
      <c r="Q28" s="539" t="s">
        <v>124</v>
      </c>
      <c r="R28" s="540"/>
      <c r="S28" s="540"/>
      <c r="T28" s="541"/>
      <c r="U28" s="527">
        <f>SUM(U29:U31)</f>
        <v>13868.101</v>
      </c>
      <c r="V28" s="586"/>
    </row>
    <row r="29" ht="24" customHeight="1" spans="1:22">
      <c r="A29" s="536">
        <v>1</v>
      </c>
      <c r="B29" s="542" t="s">
        <v>125</v>
      </c>
      <c r="C29" s="525">
        <f t="shared" si="0"/>
        <v>6293.47</v>
      </c>
      <c r="D29" s="538"/>
      <c r="E29" s="527"/>
      <c r="F29" s="527"/>
      <c r="G29" s="527"/>
      <c r="H29" s="527"/>
      <c r="I29" s="527">
        <v>1938.63</v>
      </c>
      <c r="J29" s="132"/>
      <c r="K29" s="527"/>
      <c r="L29" s="527"/>
      <c r="M29" s="527"/>
      <c r="N29" s="527"/>
      <c r="O29" s="527">
        <v>1007.37</v>
      </c>
      <c r="P29" s="132"/>
      <c r="Q29" s="527"/>
      <c r="R29" s="527"/>
      <c r="S29" s="527"/>
      <c r="T29" s="527"/>
      <c r="U29" s="527">
        <v>3347.47</v>
      </c>
      <c r="V29" s="586"/>
    </row>
    <row r="30" ht="24" customHeight="1" spans="1:22">
      <c r="A30" s="536">
        <v>2</v>
      </c>
      <c r="B30" s="542" t="s">
        <v>126</v>
      </c>
      <c r="C30" s="525">
        <f t="shared" si="0"/>
        <v>17981.37</v>
      </c>
      <c r="D30" s="538"/>
      <c r="F30" s="533"/>
      <c r="G30" s="533"/>
      <c r="H30" s="533"/>
      <c r="I30" s="527">
        <v>5538.95</v>
      </c>
      <c r="J30" s="132"/>
      <c r="K30" s="533"/>
      <c r="L30" s="533"/>
      <c r="M30" s="533"/>
      <c r="N30" s="533"/>
      <c r="O30" s="527">
        <v>2878.21</v>
      </c>
      <c r="P30" s="132"/>
      <c r="Q30" s="533"/>
      <c r="R30" s="533"/>
      <c r="S30" s="533"/>
      <c r="T30" s="533"/>
      <c r="U30" s="527">
        <v>9564.21</v>
      </c>
      <c r="V30" s="586" t="s">
        <v>127</v>
      </c>
    </row>
    <row r="31" ht="24" customHeight="1" spans="1:22">
      <c r="A31" s="536">
        <v>3</v>
      </c>
      <c r="B31" s="543" t="s">
        <v>128</v>
      </c>
      <c r="C31" s="525">
        <f t="shared" si="0"/>
        <v>1798.137</v>
      </c>
      <c r="D31" s="538"/>
      <c r="E31" s="544" t="s">
        <v>129</v>
      </c>
      <c r="F31" s="545"/>
      <c r="G31" s="545"/>
      <c r="H31" s="546"/>
      <c r="I31" s="527">
        <f>I30*10%</f>
        <v>553.895</v>
      </c>
      <c r="J31" s="132"/>
      <c r="K31" s="539" t="s">
        <v>130</v>
      </c>
      <c r="L31" s="540"/>
      <c r="M31" s="540"/>
      <c r="N31" s="541"/>
      <c r="O31" s="527">
        <f>O30*10%</f>
        <v>287.821</v>
      </c>
      <c r="P31" s="132"/>
      <c r="Q31" s="539" t="s">
        <v>130</v>
      </c>
      <c r="R31" s="540"/>
      <c r="S31" s="540"/>
      <c r="T31" s="541"/>
      <c r="U31" s="527">
        <f>U30*10%</f>
        <v>956.421</v>
      </c>
      <c r="V31" s="586"/>
    </row>
    <row r="32" ht="24" customHeight="1" spans="1:22">
      <c r="A32" s="536" t="s">
        <v>89</v>
      </c>
      <c r="B32" s="543" t="s">
        <v>131</v>
      </c>
      <c r="C32" s="525">
        <f t="shared" si="0"/>
        <v>182.56</v>
      </c>
      <c r="D32" s="538"/>
      <c r="E32" s="539" t="s">
        <v>132</v>
      </c>
      <c r="F32" s="540"/>
      <c r="G32" s="540"/>
      <c r="H32" s="541"/>
      <c r="I32" s="527">
        <v>59.04</v>
      </c>
      <c r="J32" s="132"/>
      <c r="K32" s="539" t="s">
        <v>133</v>
      </c>
      <c r="L32" s="540"/>
      <c r="M32" s="540"/>
      <c r="N32" s="541"/>
      <c r="O32" s="527">
        <v>46.65</v>
      </c>
      <c r="P32" s="132"/>
      <c r="Q32" s="539" t="s">
        <v>133</v>
      </c>
      <c r="R32" s="540"/>
      <c r="S32" s="540"/>
      <c r="T32" s="541"/>
      <c r="U32" s="527">
        <v>76.87</v>
      </c>
      <c r="V32" s="586"/>
    </row>
    <row r="33" s="503" customFormat="1" ht="24" customHeight="1" spans="1:22">
      <c r="A33" s="536" t="s">
        <v>91</v>
      </c>
      <c r="B33" s="543" t="s">
        <v>134</v>
      </c>
      <c r="C33" s="525">
        <f t="shared" si="0"/>
        <v>7204.4273</v>
      </c>
      <c r="D33" s="538"/>
      <c r="E33" s="539" t="s">
        <v>135</v>
      </c>
      <c r="F33" s="540"/>
      <c r="G33" s="540"/>
      <c r="H33" s="541"/>
      <c r="I33" s="527">
        <f>I5*1%</f>
        <v>2274.5412</v>
      </c>
      <c r="J33" s="132"/>
      <c r="K33" s="539" t="s">
        <v>135</v>
      </c>
      <c r="L33" s="540"/>
      <c r="M33" s="540"/>
      <c r="N33" s="541"/>
      <c r="O33" s="527">
        <f>O5*1%</f>
        <v>1235.6421</v>
      </c>
      <c r="P33" s="132"/>
      <c r="Q33" s="539" t="s">
        <v>135</v>
      </c>
      <c r="R33" s="540"/>
      <c r="S33" s="540"/>
      <c r="T33" s="541"/>
      <c r="U33" s="527">
        <f>U5*1%</f>
        <v>3694.244</v>
      </c>
      <c r="V33" s="587"/>
    </row>
    <row r="34" ht="64.5" customHeight="1" spans="1:22">
      <c r="A34" s="536" t="s">
        <v>93</v>
      </c>
      <c r="B34" s="543" t="s">
        <v>136</v>
      </c>
      <c r="C34" s="525">
        <f t="shared" si="0"/>
        <v>677.84</v>
      </c>
      <c r="D34" s="538"/>
      <c r="E34" s="539" t="s">
        <v>137</v>
      </c>
      <c r="F34" s="540"/>
      <c r="G34" s="540"/>
      <c r="H34" s="541"/>
      <c r="I34" s="527">
        <v>211.81</v>
      </c>
      <c r="J34" s="132"/>
      <c r="K34" s="539" t="s">
        <v>138</v>
      </c>
      <c r="L34" s="540"/>
      <c r="M34" s="540"/>
      <c r="N34" s="541"/>
      <c r="O34" s="527">
        <v>138.43</v>
      </c>
      <c r="P34" s="132"/>
      <c r="Q34" s="539" t="s">
        <v>138</v>
      </c>
      <c r="R34" s="540"/>
      <c r="S34" s="540"/>
      <c r="T34" s="541"/>
      <c r="U34" s="527">
        <v>327.6</v>
      </c>
      <c r="V34" s="586" t="s">
        <v>139</v>
      </c>
    </row>
    <row r="35" ht="24" customHeight="1" spans="1:22">
      <c r="A35" s="536" t="s">
        <v>95</v>
      </c>
      <c r="B35" s="543" t="s">
        <v>140</v>
      </c>
      <c r="C35" s="525">
        <f t="shared" si="0"/>
        <v>1577.86</v>
      </c>
      <c r="D35" s="538"/>
      <c r="E35" s="527"/>
      <c r="F35" s="527"/>
      <c r="G35" s="527"/>
      <c r="H35" s="527"/>
      <c r="I35" s="577">
        <v>486.04</v>
      </c>
      <c r="J35" s="132"/>
      <c r="K35" s="527"/>
      <c r="L35" s="527"/>
      <c r="M35" s="527"/>
      <c r="N35" s="527"/>
      <c r="O35" s="577">
        <v>252.56</v>
      </c>
      <c r="P35" s="132"/>
      <c r="Q35" s="527"/>
      <c r="R35" s="527"/>
      <c r="S35" s="527"/>
      <c r="T35" s="527"/>
      <c r="U35" s="577">
        <v>839.26</v>
      </c>
      <c r="V35" s="563"/>
    </row>
    <row r="36" s="503" customFormat="1" ht="24" customHeight="1" spans="1:22">
      <c r="A36" s="536" t="s">
        <v>97</v>
      </c>
      <c r="B36" s="543" t="s">
        <v>141</v>
      </c>
      <c r="C36" s="525">
        <f t="shared" si="0"/>
        <v>3530.5</v>
      </c>
      <c r="D36" s="538"/>
      <c r="E36" s="539" t="s">
        <v>142</v>
      </c>
      <c r="F36" s="540"/>
      <c r="G36" s="540"/>
      <c r="H36" s="541"/>
      <c r="I36" s="577">
        <f>SUM(I37:I40)</f>
        <v>1279.5</v>
      </c>
      <c r="J36" s="132"/>
      <c r="K36" s="544" t="s">
        <v>143</v>
      </c>
      <c r="L36" s="545"/>
      <c r="M36" s="545"/>
      <c r="N36" s="546"/>
      <c r="O36" s="577">
        <f>SUM(O37:O40)</f>
        <v>971.5</v>
      </c>
      <c r="P36" s="132"/>
      <c r="Q36" s="539" t="s">
        <v>144</v>
      </c>
      <c r="R36" s="540"/>
      <c r="S36" s="540"/>
      <c r="T36" s="541"/>
      <c r="U36" s="577">
        <f>SUM(U37:U40)</f>
        <v>1279.5</v>
      </c>
      <c r="V36" s="563"/>
    </row>
    <row r="37" ht="24" customHeight="1" spans="1:22">
      <c r="A37" s="536">
        <v>1</v>
      </c>
      <c r="B37" s="543" t="s">
        <v>145</v>
      </c>
      <c r="C37" s="525">
        <f t="shared" si="0"/>
        <v>945</v>
      </c>
      <c r="D37" s="261"/>
      <c r="E37" s="527"/>
      <c r="F37" s="533"/>
      <c r="G37" s="533"/>
      <c r="H37" s="527"/>
      <c r="I37" s="577">
        <v>350</v>
      </c>
      <c r="J37" s="137"/>
      <c r="K37" s="527"/>
      <c r="L37" s="533"/>
      <c r="M37" s="533"/>
      <c r="N37" s="527"/>
      <c r="O37" s="577">
        <v>245</v>
      </c>
      <c r="P37" s="137"/>
      <c r="Q37" s="527"/>
      <c r="R37" s="533"/>
      <c r="S37" s="533"/>
      <c r="T37" s="527"/>
      <c r="U37" s="577">
        <v>350</v>
      </c>
      <c r="V37" s="563"/>
    </row>
    <row r="38" s="503" customFormat="1" ht="24" customHeight="1" spans="1:22">
      <c r="A38" s="536">
        <v>2</v>
      </c>
      <c r="B38" s="543" t="s">
        <v>146</v>
      </c>
      <c r="C38" s="525">
        <f t="shared" si="0"/>
        <v>2120</v>
      </c>
      <c r="D38" s="261"/>
      <c r="E38" s="527"/>
      <c r="F38" s="527"/>
      <c r="G38" s="527"/>
      <c r="H38" s="527"/>
      <c r="I38" s="577">
        <v>760</v>
      </c>
      <c r="J38" s="137"/>
      <c r="K38" s="527"/>
      <c r="L38" s="527"/>
      <c r="M38" s="527"/>
      <c r="N38" s="527"/>
      <c r="O38" s="577">
        <v>600</v>
      </c>
      <c r="P38" s="137"/>
      <c r="Q38" s="527"/>
      <c r="R38" s="527"/>
      <c r="S38" s="527"/>
      <c r="T38" s="527"/>
      <c r="U38" s="577">
        <v>760</v>
      </c>
      <c r="V38" s="563"/>
    </row>
    <row r="39" ht="25.5" customHeight="1" spans="1:22">
      <c r="A39" s="536">
        <v>3</v>
      </c>
      <c r="B39" s="543" t="s">
        <v>147</v>
      </c>
      <c r="C39" s="525">
        <f t="shared" si="0"/>
        <v>439</v>
      </c>
      <c r="D39" s="261"/>
      <c r="E39" s="527"/>
      <c r="F39" s="533"/>
      <c r="G39" s="533"/>
      <c r="H39" s="527"/>
      <c r="I39" s="577">
        <v>160</v>
      </c>
      <c r="J39" s="137"/>
      <c r="K39" s="527"/>
      <c r="L39" s="533"/>
      <c r="M39" s="533"/>
      <c r="N39" s="527"/>
      <c r="O39" s="577">
        <v>119</v>
      </c>
      <c r="P39" s="137"/>
      <c r="Q39" s="527"/>
      <c r="R39" s="533"/>
      <c r="S39" s="533"/>
      <c r="T39" s="527"/>
      <c r="U39" s="577">
        <v>160</v>
      </c>
      <c r="V39" s="563"/>
    </row>
    <row r="40" ht="24" spans="1:22">
      <c r="A40" s="536">
        <v>4</v>
      </c>
      <c r="B40" s="543" t="s">
        <v>148</v>
      </c>
      <c r="C40" s="525">
        <f t="shared" si="0"/>
        <v>26.5</v>
      </c>
      <c r="D40" s="261"/>
      <c r="E40" s="533"/>
      <c r="F40" s="527"/>
      <c r="G40" s="527"/>
      <c r="H40" s="533"/>
      <c r="I40" s="577">
        <v>9.5</v>
      </c>
      <c r="J40" s="137"/>
      <c r="K40" s="533"/>
      <c r="L40" s="527"/>
      <c r="M40" s="527"/>
      <c r="N40" s="533"/>
      <c r="O40" s="577">
        <v>7.5</v>
      </c>
      <c r="P40" s="137"/>
      <c r="Q40" s="533"/>
      <c r="R40" s="527"/>
      <c r="S40" s="527"/>
      <c r="T40" s="533"/>
      <c r="U40" s="577">
        <v>9.5</v>
      </c>
      <c r="V40" s="563"/>
    </row>
    <row r="41" ht="14.25" spans="1:22">
      <c r="A41" s="536" t="s">
        <v>99</v>
      </c>
      <c r="B41" s="543" t="s">
        <v>149</v>
      </c>
      <c r="C41" s="525">
        <f t="shared" si="0"/>
        <v>200</v>
      </c>
      <c r="D41" s="261"/>
      <c r="E41" s="527"/>
      <c r="F41" s="527"/>
      <c r="G41" s="527"/>
      <c r="H41" s="527"/>
      <c r="I41" s="577">
        <v>50</v>
      </c>
      <c r="J41" s="137"/>
      <c r="K41" s="527"/>
      <c r="L41" s="527"/>
      <c r="M41" s="527"/>
      <c r="N41" s="527"/>
      <c r="O41" s="577">
        <v>100</v>
      </c>
      <c r="P41" s="137"/>
      <c r="Q41" s="527"/>
      <c r="R41" s="527"/>
      <c r="S41" s="527"/>
      <c r="T41" s="527"/>
      <c r="U41" s="577">
        <v>50</v>
      </c>
      <c r="V41" s="563" t="s">
        <v>150</v>
      </c>
    </row>
    <row r="42" customHeight="1" spans="1:22">
      <c r="A42" s="536" t="s">
        <v>151</v>
      </c>
      <c r="B42" s="543" t="s">
        <v>152</v>
      </c>
      <c r="C42" s="525">
        <f t="shared" si="0"/>
        <v>200</v>
      </c>
      <c r="D42" s="261"/>
      <c r="E42" s="533"/>
      <c r="F42" s="527"/>
      <c r="G42" s="527"/>
      <c r="H42" s="533"/>
      <c r="I42" s="577">
        <v>50</v>
      </c>
      <c r="J42" s="137"/>
      <c r="K42" s="533"/>
      <c r="L42" s="527"/>
      <c r="M42" s="527"/>
      <c r="N42" s="533"/>
      <c r="O42" s="577">
        <v>100</v>
      </c>
      <c r="P42" s="137"/>
      <c r="Q42" s="533"/>
      <c r="R42" s="527"/>
      <c r="S42" s="527"/>
      <c r="T42" s="533"/>
      <c r="U42" s="577">
        <v>50</v>
      </c>
      <c r="V42" s="563" t="s">
        <v>150</v>
      </c>
    </row>
    <row r="43" customHeight="1" spans="1:22">
      <c r="A43" s="536" t="s">
        <v>153</v>
      </c>
      <c r="B43" s="547" t="s">
        <v>154</v>
      </c>
      <c r="C43" s="525">
        <f t="shared" si="0"/>
        <v>7204.4273</v>
      </c>
      <c r="D43" s="261"/>
      <c r="E43" s="539" t="s">
        <v>135</v>
      </c>
      <c r="F43" s="540"/>
      <c r="G43" s="540"/>
      <c r="H43" s="541"/>
      <c r="I43" s="527">
        <f>I5*1%</f>
        <v>2274.5412</v>
      </c>
      <c r="J43" s="137"/>
      <c r="K43" s="539" t="s">
        <v>135</v>
      </c>
      <c r="L43" s="540"/>
      <c r="M43" s="540"/>
      <c r="N43" s="541"/>
      <c r="O43" s="527">
        <f>O5*1%</f>
        <v>1235.6421</v>
      </c>
      <c r="P43" s="137"/>
      <c r="Q43" s="539" t="s">
        <v>135</v>
      </c>
      <c r="R43" s="540"/>
      <c r="S43" s="540"/>
      <c r="T43" s="541"/>
      <c r="U43" s="527">
        <f>U5*1%</f>
        <v>3694.244</v>
      </c>
      <c r="V43" s="586"/>
    </row>
    <row r="44" customHeight="1" spans="1:22">
      <c r="A44" s="536" t="s">
        <v>155</v>
      </c>
      <c r="B44" s="547" t="s">
        <v>156</v>
      </c>
      <c r="C44" s="525">
        <f t="shared" si="0"/>
        <v>12900</v>
      </c>
      <c r="D44" s="261"/>
      <c r="E44" s="527"/>
      <c r="F44" s="527"/>
      <c r="G44" s="527"/>
      <c r="H44" s="527"/>
      <c r="I44" s="527">
        <f>SUM(I45:I46)</f>
        <v>2500</v>
      </c>
      <c r="J44" s="137"/>
      <c r="K44" s="527"/>
      <c r="L44" s="527"/>
      <c r="M44" s="527"/>
      <c r="N44" s="527"/>
      <c r="O44" s="527">
        <f>SUM(O45:O46)</f>
        <v>2400</v>
      </c>
      <c r="P44" s="137"/>
      <c r="Q44" s="527"/>
      <c r="R44" s="527"/>
      <c r="S44" s="527"/>
      <c r="T44" s="527"/>
      <c r="U44" s="527">
        <f>SUM(U45:U46)</f>
        <v>8000</v>
      </c>
      <c r="V44" s="563" t="s">
        <v>150</v>
      </c>
    </row>
    <row r="45" customHeight="1" spans="1:22">
      <c r="A45" s="536">
        <v>1</v>
      </c>
      <c r="B45" s="547" t="s">
        <v>157</v>
      </c>
      <c r="C45" s="525">
        <f t="shared" si="0"/>
        <v>7500</v>
      </c>
      <c r="D45" s="261"/>
      <c r="E45" s="548" t="s">
        <v>158</v>
      </c>
      <c r="F45" s="549"/>
      <c r="G45" s="549"/>
      <c r="H45" s="550"/>
      <c r="I45" s="527">
        <v>2500</v>
      </c>
      <c r="J45" s="137"/>
      <c r="K45" s="527"/>
      <c r="L45" s="527"/>
      <c r="M45" s="527"/>
      <c r="N45" s="527"/>
      <c r="O45" s="527">
        <v>0</v>
      </c>
      <c r="P45" s="137"/>
      <c r="Q45" s="527" t="s">
        <v>159</v>
      </c>
      <c r="R45" s="527"/>
      <c r="S45" s="527"/>
      <c r="T45" s="527"/>
      <c r="U45" s="527">
        <v>5000</v>
      </c>
      <c r="V45" s="586"/>
    </row>
    <row r="46" customHeight="1" spans="1:22">
      <c r="A46" s="536">
        <v>2</v>
      </c>
      <c r="B46" s="547" t="s">
        <v>160</v>
      </c>
      <c r="C46" s="525">
        <f t="shared" si="0"/>
        <v>5400</v>
      </c>
      <c r="D46" s="261"/>
      <c r="E46" s="539"/>
      <c r="F46" s="540"/>
      <c r="G46" s="540"/>
      <c r="H46" s="541"/>
      <c r="I46" s="527">
        <v>0</v>
      </c>
      <c r="J46" s="137"/>
      <c r="K46" s="548" t="s">
        <v>161</v>
      </c>
      <c r="L46" s="549"/>
      <c r="M46" s="549"/>
      <c r="N46" s="550"/>
      <c r="O46" s="527">
        <v>2400</v>
      </c>
      <c r="P46" s="137"/>
      <c r="Q46" s="539" t="s">
        <v>162</v>
      </c>
      <c r="R46" s="540"/>
      <c r="S46" s="540"/>
      <c r="T46" s="541"/>
      <c r="U46" s="527">
        <v>3000</v>
      </c>
      <c r="V46" s="586"/>
    </row>
    <row r="47" customHeight="1" spans="1:22">
      <c r="A47" s="536" t="s">
        <v>163</v>
      </c>
      <c r="B47" s="547" t="s">
        <v>164</v>
      </c>
      <c r="C47" s="525">
        <f t="shared" si="0"/>
        <v>600</v>
      </c>
      <c r="D47" s="261"/>
      <c r="E47" s="527"/>
      <c r="F47" s="527"/>
      <c r="G47" s="527"/>
      <c r="H47" s="527"/>
      <c r="I47" s="527">
        <v>0</v>
      </c>
      <c r="J47" s="137"/>
      <c r="K47" s="527"/>
      <c r="L47" s="527"/>
      <c r="M47" s="527"/>
      <c r="N47" s="527"/>
      <c r="O47" s="527">
        <v>0</v>
      </c>
      <c r="P47" s="137"/>
      <c r="Q47" s="527"/>
      <c r="R47" s="527"/>
      <c r="S47" s="527"/>
      <c r="T47" s="527"/>
      <c r="U47" s="527">
        <v>600</v>
      </c>
      <c r="V47" s="588"/>
    </row>
    <row r="48" customHeight="1" spans="1:22">
      <c r="A48" s="536" t="s">
        <v>165</v>
      </c>
      <c r="B48" s="547" t="s">
        <v>166</v>
      </c>
      <c r="C48" s="525">
        <f t="shared" si="0"/>
        <v>2900</v>
      </c>
      <c r="D48" s="261"/>
      <c r="E48" s="527"/>
      <c r="F48" s="527"/>
      <c r="G48" s="527"/>
      <c r="H48" s="527"/>
      <c r="I48" s="527">
        <f>SUM(I49:I51)</f>
        <v>0</v>
      </c>
      <c r="J48" s="137"/>
      <c r="K48" s="527"/>
      <c r="L48" s="527"/>
      <c r="M48" s="527"/>
      <c r="N48" s="527"/>
      <c r="O48" s="527">
        <f>SUM(O49:O51)</f>
        <v>800</v>
      </c>
      <c r="P48" s="137"/>
      <c r="Q48" s="527"/>
      <c r="R48" s="527"/>
      <c r="S48" s="527"/>
      <c r="T48" s="527"/>
      <c r="U48" s="527">
        <f>SUM(U49:U51)</f>
        <v>2100</v>
      </c>
      <c r="V48" s="586"/>
    </row>
    <row r="49" customHeight="1" spans="1:22">
      <c r="A49" s="536">
        <v>1</v>
      </c>
      <c r="B49" s="547" t="s">
        <v>167</v>
      </c>
      <c r="C49" s="525">
        <f t="shared" si="0"/>
        <v>300</v>
      </c>
      <c r="D49" s="261"/>
      <c r="E49" s="527"/>
      <c r="F49" s="527"/>
      <c r="G49" s="527"/>
      <c r="H49" s="527"/>
      <c r="I49" s="527">
        <v>0</v>
      </c>
      <c r="J49" s="137"/>
      <c r="K49" s="527"/>
      <c r="L49" s="527"/>
      <c r="M49" s="527"/>
      <c r="N49" s="527"/>
      <c r="O49" s="527">
        <v>0</v>
      </c>
      <c r="P49" s="137"/>
      <c r="Q49" s="527"/>
      <c r="R49" s="527"/>
      <c r="S49" s="527"/>
      <c r="T49" s="527"/>
      <c r="U49" s="527">
        <v>300</v>
      </c>
      <c r="V49" s="586"/>
    </row>
    <row r="50" customHeight="1" spans="1:22">
      <c r="A50" s="536">
        <v>2</v>
      </c>
      <c r="B50" s="547" t="s">
        <v>168</v>
      </c>
      <c r="C50" s="525">
        <f t="shared" si="0"/>
        <v>1400</v>
      </c>
      <c r="D50" s="261"/>
      <c r="E50" s="539"/>
      <c r="F50" s="540"/>
      <c r="G50" s="540"/>
      <c r="H50" s="541"/>
      <c r="I50" s="527">
        <v>0</v>
      </c>
      <c r="J50" s="137"/>
      <c r="K50" s="539" t="s">
        <v>169</v>
      </c>
      <c r="L50" s="540"/>
      <c r="M50" s="540"/>
      <c r="N50" s="541"/>
      <c r="O50" s="527">
        <v>800</v>
      </c>
      <c r="P50" s="137"/>
      <c r="Q50" s="539" t="s">
        <v>170</v>
      </c>
      <c r="R50" s="540"/>
      <c r="S50" s="540"/>
      <c r="T50" s="541"/>
      <c r="U50" s="527">
        <v>600</v>
      </c>
      <c r="V50" s="586"/>
    </row>
    <row r="51" customHeight="1" spans="1:22">
      <c r="A51" s="536">
        <v>3</v>
      </c>
      <c r="B51" s="547" t="s">
        <v>171</v>
      </c>
      <c r="C51" s="525">
        <f t="shared" si="0"/>
        <v>1200</v>
      </c>
      <c r="D51" s="261"/>
      <c r="E51" s="539"/>
      <c r="F51" s="540"/>
      <c r="G51" s="540"/>
      <c r="H51" s="541"/>
      <c r="I51" s="527">
        <v>0</v>
      </c>
      <c r="J51" s="137"/>
      <c r="K51" s="578"/>
      <c r="L51" s="578"/>
      <c r="M51" s="578"/>
      <c r="N51" s="578"/>
      <c r="O51" s="527">
        <v>0</v>
      </c>
      <c r="P51" s="137"/>
      <c r="Q51" s="539" t="s">
        <v>172</v>
      </c>
      <c r="R51" s="540"/>
      <c r="S51" s="540"/>
      <c r="T51" s="541"/>
      <c r="U51" s="527">
        <v>1200</v>
      </c>
      <c r="V51" s="586"/>
    </row>
    <row r="52" customHeight="1" spans="1:22">
      <c r="A52" s="536" t="s">
        <v>173</v>
      </c>
      <c r="B52" s="547" t="s">
        <v>174</v>
      </c>
      <c r="C52" s="525">
        <f t="shared" si="0"/>
        <v>360.22</v>
      </c>
      <c r="D52" s="261"/>
      <c r="E52" s="527"/>
      <c r="F52" s="527"/>
      <c r="G52" s="527"/>
      <c r="H52" s="527"/>
      <c r="I52" s="527">
        <v>113.73</v>
      </c>
      <c r="J52" s="137"/>
      <c r="K52" s="527"/>
      <c r="L52" s="527"/>
      <c r="M52" s="527"/>
      <c r="N52" s="527"/>
      <c r="O52" s="527">
        <v>61.78</v>
      </c>
      <c r="P52" s="137"/>
      <c r="Q52" s="527"/>
      <c r="R52" s="527"/>
      <c r="S52" s="527"/>
      <c r="T52" s="527"/>
      <c r="U52" s="527">
        <v>184.71</v>
      </c>
      <c r="V52" s="586"/>
    </row>
    <row r="53" ht="36" customHeight="1" spans="1:22">
      <c r="A53" s="551" t="s">
        <v>175</v>
      </c>
      <c r="B53" s="552" t="s">
        <v>176</v>
      </c>
      <c r="C53" s="525">
        <f t="shared" si="0"/>
        <v>39996.36358</v>
      </c>
      <c r="D53" s="553"/>
      <c r="E53" s="539" t="s">
        <v>177</v>
      </c>
      <c r="F53" s="540"/>
      <c r="G53" s="540"/>
      <c r="H53" s="541"/>
      <c r="I53" s="527">
        <f>(I5+I16-I17)*5%</f>
        <v>12490.59887</v>
      </c>
      <c r="J53" s="579"/>
      <c r="K53" s="539" t="s">
        <v>178</v>
      </c>
      <c r="L53" s="540"/>
      <c r="M53" s="540"/>
      <c r="N53" s="541"/>
      <c r="O53" s="527">
        <f>(O5+O16-O17)*5%</f>
        <v>6928.84926</v>
      </c>
      <c r="P53" s="579"/>
      <c r="Q53" s="539" t="s">
        <v>178</v>
      </c>
      <c r="R53" s="540"/>
      <c r="S53" s="540"/>
      <c r="T53" s="541"/>
      <c r="U53" s="527">
        <f>(U5+U16-U17)*5%</f>
        <v>20576.91545</v>
      </c>
      <c r="V53" s="563" t="s">
        <v>179</v>
      </c>
    </row>
    <row r="54" ht="24.75" customHeight="1" spans="1:22">
      <c r="A54" s="551" t="s">
        <v>180</v>
      </c>
      <c r="B54" s="535" t="s">
        <v>181</v>
      </c>
      <c r="C54" s="525">
        <f t="shared" si="0"/>
        <v>1271812.06518</v>
      </c>
      <c r="D54" s="554"/>
      <c r="E54" s="555" t="s">
        <v>182</v>
      </c>
      <c r="F54" s="556"/>
      <c r="G54" s="556"/>
      <c r="H54" s="557"/>
      <c r="I54" s="527">
        <f>I5+I16+I53</f>
        <v>337803.16627</v>
      </c>
      <c r="J54" s="580"/>
      <c r="K54" s="555" t="s">
        <v>182</v>
      </c>
      <c r="L54" s="556"/>
      <c r="M54" s="556"/>
      <c r="N54" s="557"/>
      <c r="O54" s="527">
        <f>O5+O16+O53</f>
        <v>250540.42446</v>
      </c>
      <c r="P54" s="580"/>
      <c r="Q54" s="555" t="s">
        <v>182</v>
      </c>
      <c r="R54" s="556"/>
      <c r="S54" s="556"/>
      <c r="T54" s="557"/>
      <c r="U54" s="527">
        <f>U5+U16+U53</f>
        <v>683468.47445</v>
      </c>
      <c r="V54" s="586"/>
    </row>
    <row r="55" customHeight="1" spans="1:22">
      <c r="A55" s="558"/>
      <c r="B55" s="559" t="s">
        <v>183</v>
      </c>
      <c r="C55" s="560">
        <f t="shared" si="0"/>
        <v>32317.757</v>
      </c>
      <c r="D55" s="561"/>
      <c r="E55" s="527"/>
      <c r="F55" s="527"/>
      <c r="G55" s="527"/>
      <c r="H55" s="527"/>
      <c r="I55" s="527">
        <f>I23+I28+I32+I35+I36+I41+I42</f>
        <v>10136.385</v>
      </c>
      <c r="J55" s="581">
        <f>J23+J28+J32+J35+J36+J41+J42</f>
        <v>0</v>
      </c>
      <c r="K55" s="527"/>
      <c r="L55" s="527"/>
      <c r="M55" s="527"/>
      <c r="N55" s="527"/>
      <c r="O55" s="527">
        <f>O23+O28+O32+O35+O36+O41+O42</f>
        <v>5795.111</v>
      </c>
      <c r="P55" s="581">
        <f>P23+P28+P32+P35+P36+P41+P42</f>
        <v>0</v>
      </c>
      <c r="Q55" s="527"/>
      <c r="R55" s="527"/>
      <c r="S55" s="527"/>
      <c r="T55" s="527"/>
      <c r="U55" s="527">
        <f>U23+U28+U32+U35+U36+U41+U42</f>
        <v>16386.261</v>
      </c>
      <c r="V55" s="589"/>
    </row>
    <row r="56" customHeight="1" spans="1:22">
      <c r="A56" s="562" t="s">
        <v>184</v>
      </c>
      <c r="E56" s="506"/>
      <c r="F56" s="506"/>
      <c r="G56" s="506"/>
      <c r="H56" s="506"/>
      <c r="I56" s="506"/>
      <c r="K56" s="506"/>
      <c r="L56" s="506"/>
      <c r="M56" s="506"/>
      <c r="N56" s="506"/>
      <c r="O56" s="506"/>
      <c r="Q56" s="506"/>
      <c r="R56" s="506"/>
      <c r="S56" s="506"/>
      <c r="T56" s="506"/>
      <c r="U56" s="506"/>
      <c r="V56" s="590"/>
    </row>
    <row r="57" customHeight="1" spans="5:22">
      <c r="E57" s="506"/>
      <c r="F57" s="506"/>
      <c r="G57" s="506"/>
      <c r="H57" s="506"/>
      <c r="I57" s="506"/>
      <c r="K57" s="506"/>
      <c r="L57" s="506"/>
      <c r="M57" s="506"/>
      <c r="N57" s="506"/>
      <c r="O57" s="582"/>
      <c r="Q57" s="506"/>
      <c r="R57" s="506"/>
      <c r="S57" s="506"/>
      <c r="T57" s="506"/>
      <c r="U57" s="506"/>
      <c r="V57" s="590"/>
    </row>
    <row r="58" ht="29.25" customHeight="1" spans="2:22">
      <c r="B58" s="563" t="s">
        <v>185</v>
      </c>
      <c r="C58" s="564">
        <f>337859.33-I55</f>
        <v>327722.945</v>
      </c>
      <c r="E58" s="506"/>
      <c r="F58" s="506"/>
      <c r="G58" s="506"/>
      <c r="H58" s="506"/>
      <c r="I58" s="583"/>
      <c r="K58" s="506"/>
      <c r="L58" s="506"/>
      <c r="M58" s="506"/>
      <c r="N58" s="506"/>
      <c r="O58" s="506"/>
      <c r="Q58" s="506"/>
      <c r="R58" s="506"/>
      <c r="S58" s="506"/>
      <c r="T58" s="506"/>
      <c r="U58" s="506"/>
      <c r="V58" s="590"/>
    </row>
    <row r="59" ht="26.25" customHeight="1" spans="2:22">
      <c r="B59" s="563" t="s">
        <v>186</v>
      </c>
      <c r="C59" s="564">
        <f>683988.91-U55</f>
        <v>667602.649</v>
      </c>
      <c r="E59" s="506"/>
      <c r="F59" s="506"/>
      <c r="G59" s="506"/>
      <c r="H59" s="506"/>
      <c r="I59" s="584">
        <f>I54-I17</f>
        <v>262302.57627</v>
      </c>
      <c r="K59" s="506"/>
      <c r="L59" s="506"/>
      <c r="M59" s="506"/>
      <c r="N59" s="506"/>
      <c r="O59" s="527">
        <f>(O5+O16-O17)+O53</f>
        <v>145505.83446</v>
      </c>
      <c r="Q59" s="506"/>
      <c r="R59" s="506"/>
      <c r="S59" s="506"/>
      <c r="T59" s="506"/>
      <c r="U59" s="527">
        <f>(U5+U16-U17)</f>
        <v>411538.309</v>
      </c>
      <c r="V59" s="590">
        <f>U59+U53</f>
        <v>432115.22445</v>
      </c>
    </row>
    <row r="60" spans="2:22">
      <c r="B60" s="565" t="s">
        <v>187</v>
      </c>
      <c r="E60" s="506"/>
      <c r="F60" s="506"/>
      <c r="G60" s="506"/>
      <c r="H60" s="506"/>
      <c r="I60" s="506"/>
      <c r="K60" s="506"/>
      <c r="L60" s="506"/>
      <c r="M60" s="506"/>
      <c r="N60" s="506"/>
      <c r="O60" s="506"/>
      <c r="Q60" s="506"/>
      <c r="R60" s="506"/>
      <c r="S60" s="506"/>
      <c r="T60" s="506"/>
      <c r="U60" s="506">
        <f>311538.31*0.4%+940</f>
        <v>2186.15324</v>
      </c>
      <c r="V60" s="590"/>
    </row>
    <row r="61" customHeight="1" spans="5:22">
      <c r="E61" s="506"/>
      <c r="F61" s="506"/>
      <c r="G61" s="506"/>
      <c r="H61" s="506"/>
      <c r="I61" s="506"/>
      <c r="K61" s="506"/>
      <c r="L61" s="506"/>
      <c r="M61" s="506"/>
      <c r="N61" s="506"/>
      <c r="O61" s="506">
        <v>20</v>
      </c>
      <c r="Q61" s="506"/>
      <c r="R61" s="506"/>
      <c r="S61" s="506"/>
      <c r="T61" s="506"/>
      <c r="U61" s="222">
        <f>2268.46-940</f>
        <v>1328.46</v>
      </c>
      <c r="V61" s="590"/>
    </row>
    <row r="62" spans="9:21">
      <c r="I62" s="222">
        <f>(I5+I16-I17)+I53</f>
        <v>262302.57627</v>
      </c>
      <c r="O62" s="222">
        <f>20+80+140+540+940</f>
        <v>1720</v>
      </c>
      <c r="U62" s="222">
        <f>U61/0.004</f>
        <v>332115</v>
      </c>
    </row>
    <row r="63" spans="9:21">
      <c r="I63" s="222">
        <f>162302.58*0.004+940</f>
        <v>1589.21032</v>
      </c>
      <c r="O63" s="222">
        <f>44276.18*0.4%+940</f>
        <v>1117.10472</v>
      </c>
      <c r="U63" s="222">
        <f>U62+100000</f>
        <v>432115</v>
      </c>
    </row>
  </sheetData>
  <mergeCells count="55">
    <mergeCell ref="A1:I1"/>
    <mergeCell ref="E3:H3"/>
    <mergeCell ref="K3:N3"/>
    <mergeCell ref="Q3:T3"/>
    <mergeCell ref="E18:H18"/>
    <mergeCell ref="K18:N18"/>
    <mergeCell ref="Q18:T18"/>
    <mergeCell ref="E21:H21"/>
    <mergeCell ref="K21:N21"/>
    <mergeCell ref="Q21:T21"/>
    <mergeCell ref="E22:H22"/>
    <mergeCell ref="K22:N22"/>
    <mergeCell ref="Q22:T22"/>
    <mergeCell ref="E23:H23"/>
    <mergeCell ref="K23:N23"/>
    <mergeCell ref="Q23:T23"/>
    <mergeCell ref="E28:H28"/>
    <mergeCell ref="K28:N28"/>
    <mergeCell ref="Q28:T28"/>
    <mergeCell ref="E31:H31"/>
    <mergeCell ref="K31:N31"/>
    <mergeCell ref="Q31:T31"/>
    <mergeCell ref="E32:H32"/>
    <mergeCell ref="K32:N32"/>
    <mergeCell ref="Q32:T32"/>
    <mergeCell ref="E33:H33"/>
    <mergeCell ref="Q33:T33"/>
    <mergeCell ref="E34:H34"/>
    <mergeCell ref="K34:N34"/>
    <mergeCell ref="Q34:T34"/>
    <mergeCell ref="E36:H36"/>
    <mergeCell ref="K36:N36"/>
    <mergeCell ref="Q36:T36"/>
    <mergeCell ref="E43:H43"/>
    <mergeCell ref="K43:N43"/>
    <mergeCell ref="Q43:T43"/>
    <mergeCell ref="E45:H45"/>
    <mergeCell ref="K46:N46"/>
    <mergeCell ref="Q46:T46"/>
    <mergeCell ref="K50:N50"/>
    <mergeCell ref="Q50:T50"/>
    <mergeCell ref="Q51:T51"/>
    <mergeCell ref="E53:H53"/>
    <mergeCell ref="K53:N53"/>
    <mergeCell ref="Q53:T53"/>
    <mergeCell ref="E54:H54"/>
    <mergeCell ref="K54:N54"/>
    <mergeCell ref="Q54:T54"/>
    <mergeCell ref="A3:A4"/>
    <mergeCell ref="B3:B4"/>
    <mergeCell ref="C3:C4"/>
    <mergeCell ref="I3:I4"/>
    <mergeCell ref="O3:O4"/>
    <mergeCell ref="U3:U4"/>
    <mergeCell ref="V3:V4"/>
  </mergeCells>
  <pageMargins left="0.708333333333333" right="0.708333333333333" top="0.747916666666667" bottom="0.550694444444444" header="0.314583333333333" footer="0.314583333333333"/>
  <pageSetup paperSize="9" scale="64" fitToHeight="100" orientation="landscape"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3:I15"/>
  <sheetViews>
    <sheetView topLeftCell="A4" workbookViewId="0">
      <selection activeCell="G11" sqref="G11"/>
    </sheetView>
  </sheetViews>
  <sheetFormatPr defaultColWidth="9" defaultRowHeight="14.25"/>
  <cols>
    <col min="1" max="1" width="4.625" style="470" customWidth="1"/>
    <col min="2" max="2" width="22.375" style="470" customWidth="1"/>
    <col min="3" max="7" width="14.125" style="471" customWidth="1"/>
    <col min="8" max="8" width="8.75" style="470" customWidth="1"/>
    <col min="9" max="9" width="12.5" style="470" customWidth="1"/>
    <col min="10" max="10" width="8.625" style="470" customWidth="1"/>
    <col min="11" max="11" width="16.625" style="470" customWidth="1"/>
    <col min="12" max="14" width="10.875" style="470" customWidth="1"/>
    <col min="15" max="15" width="12.125" style="470" customWidth="1"/>
    <col min="16" max="16384" width="9" style="470"/>
  </cols>
  <sheetData>
    <row r="3" ht="20.25" spans="1:7">
      <c r="A3" s="472" t="s">
        <v>188</v>
      </c>
      <c r="B3" s="472"/>
      <c r="C3" s="472"/>
      <c r="D3" s="472"/>
      <c r="E3" s="472"/>
      <c r="F3" s="472"/>
      <c r="G3" s="472"/>
    </row>
    <row r="4" ht="15"/>
    <row r="5" ht="33" customHeight="1" spans="1:7">
      <c r="A5" s="473" t="s">
        <v>1</v>
      </c>
      <c r="B5" s="473" t="s">
        <v>189</v>
      </c>
      <c r="C5" s="474" t="s">
        <v>13</v>
      </c>
      <c r="D5" s="475" t="s">
        <v>14</v>
      </c>
      <c r="E5" s="474" t="s">
        <v>15</v>
      </c>
      <c r="F5" s="476"/>
      <c r="G5" s="477"/>
    </row>
    <row r="6" ht="29.25" customHeight="1" spans="1:7">
      <c r="A6" s="478"/>
      <c r="B6" s="478"/>
      <c r="C6" s="479"/>
      <c r="D6" s="480"/>
      <c r="E6" s="479"/>
      <c r="F6" s="481" t="s">
        <v>190</v>
      </c>
      <c r="G6" s="477"/>
    </row>
    <row r="7" ht="37.5" customHeight="1" spans="1:7">
      <c r="A7" s="482"/>
      <c r="B7" s="482"/>
      <c r="C7" s="483"/>
      <c r="D7" s="484"/>
      <c r="E7" s="483"/>
      <c r="F7" s="485" t="s">
        <v>191</v>
      </c>
      <c r="G7" s="477"/>
    </row>
    <row r="8" ht="24" customHeight="1" spans="1:7">
      <c r="A8" s="486">
        <v>1</v>
      </c>
      <c r="B8" s="487" t="s">
        <v>192</v>
      </c>
      <c r="C8" s="488">
        <f>C9+C11+C12+C13</f>
        <v>337803.16627</v>
      </c>
      <c r="D8" s="488">
        <f t="shared" ref="D8:E8" si="0">D9+D11+D12+D13</f>
        <v>250540.42446</v>
      </c>
      <c r="E8" s="488">
        <f t="shared" si="0"/>
        <v>683468.47445</v>
      </c>
      <c r="F8" s="489">
        <f>SUM(C8:E8)</f>
        <v>1271812.06518</v>
      </c>
      <c r="G8" s="490"/>
    </row>
    <row r="9" ht="24" customHeight="1" spans="1:9">
      <c r="A9" s="491">
        <v>1.1</v>
      </c>
      <c r="B9" s="492" t="s">
        <v>193</v>
      </c>
      <c r="C9" s="493">
        <f>'项目建设投资估算表 '!I5</f>
        <v>227454.12</v>
      </c>
      <c r="D9" s="494">
        <f>'项目建设投资估算表 '!O5</f>
        <v>123564.21</v>
      </c>
      <c r="E9" s="493">
        <f>'项目建设投资估算表 '!U5</f>
        <v>369424.4</v>
      </c>
      <c r="F9" s="495">
        <f t="shared" ref="F9" si="1">SUM(C9:E9)</f>
        <v>720442.73</v>
      </c>
      <c r="G9" s="490"/>
      <c r="I9" s="471"/>
    </row>
    <row r="10" ht="24" customHeight="1" spans="1:7">
      <c r="A10" s="486"/>
      <c r="B10" s="487" t="s">
        <v>194</v>
      </c>
      <c r="C10" s="496"/>
      <c r="D10" s="497"/>
      <c r="E10" s="496"/>
      <c r="F10" s="489"/>
      <c r="G10" s="490"/>
    </row>
    <row r="11" ht="29.25" customHeight="1" spans="1:9">
      <c r="A11" s="491">
        <v>1.2</v>
      </c>
      <c r="B11" s="487" t="s">
        <v>195</v>
      </c>
      <c r="C11" s="488">
        <f>项目投资与资金筹措计划表!D21</f>
        <v>22357.8574</v>
      </c>
      <c r="D11" s="498">
        <f>项目投资与资金筹措计划表!D22</f>
        <v>15012.7752</v>
      </c>
      <c r="E11" s="488">
        <f>项目投资与资金筹措计划表!D23</f>
        <v>42113.909</v>
      </c>
      <c r="F11" s="489">
        <f>SUM(C11:E11)</f>
        <v>79484.5416</v>
      </c>
      <c r="G11" s="490"/>
      <c r="I11" s="502"/>
    </row>
    <row r="12" ht="29.25" customHeight="1" spans="1:8">
      <c r="A12" s="486">
        <v>1.3</v>
      </c>
      <c r="B12" s="499" t="s">
        <v>24</v>
      </c>
      <c r="C12" s="488">
        <f>项目投资与资金筹措计划表!D25</f>
        <v>75500.59</v>
      </c>
      <c r="D12" s="498">
        <f>项目投资与资金筹措计划表!D26</f>
        <v>105034.59</v>
      </c>
      <c r="E12" s="488">
        <f>项目投资与资金筹措计划表!D27</f>
        <v>251353.25</v>
      </c>
      <c r="F12" s="489">
        <f t="shared" ref="F12:F15" si="2">SUM(C12:E12)</f>
        <v>431888.43</v>
      </c>
      <c r="G12" s="490"/>
      <c r="H12" s="500"/>
    </row>
    <row r="13" ht="19.5" customHeight="1" spans="1:8">
      <c r="A13" s="486">
        <v>1.4</v>
      </c>
      <c r="B13" s="487" t="s">
        <v>26</v>
      </c>
      <c r="C13" s="488">
        <f>项目投资与资金筹措计划表!D29</f>
        <v>12490.59887</v>
      </c>
      <c r="D13" s="498">
        <f>项目投资与资金筹措计划表!D30</f>
        <v>6928.84926</v>
      </c>
      <c r="E13" s="488">
        <f>项目投资与资金筹措计划表!D31</f>
        <v>20576.91545</v>
      </c>
      <c r="F13" s="489">
        <f t="shared" si="2"/>
        <v>39996.36358</v>
      </c>
      <c r="G13" s="490"/>
      <c r="H13" s="500"/>
    </row>
    <row r="14" ht="19.5" customHeight="1" spans="1:7">
      <c r="A14" s="486">
        <v>2</v>
      </c>
      <c r="B14" s="487" t="s">
        <v>28</v>
      </c>
      <c r="C14" s="488">
        <f>项目投资与资金筹措计划表!D33</f>
        <v>34004.189487828</v>
      </c>
      <c r="D14" s="488">
        <f>项目投资与资金筹措计划表!D34</f>
        <v>26763.7313280641</v>
      </c>
      <c r="E14" s="488">
        <f>项目投资与资金筹措计划表!D35</f>
        <v>73991.54304626</v>
      </c>
      <c r="F14" s="488">
        <f t="shared" si="2"/>
        <v>134759.463862152</v>
      </c>
      <c r="G14" s="490"/>
    </row>
    <row r="15" ht="19.5" customHeight="1" spans="1:7">
      <c r="A15" s="486">
        <v>3</v>
      </c>
      <c r="B15" s="487" t="s">
        <v>12</v>
      </c>
      <c r="C15" s="501">
        <f>C8+C14</f>
        <v>371807.355757828</v>
      </c>
      <c r="D15" s="501">
        <f t="shared" ref="D15:E15" si="3">D8+D14</f>
        <v>277304.155788064</v>
      </c>
      <c r="E15" s="501">
        <f t="shared" si="3"/>
        <v>757460.01749626</v>
      </c>
      <c r="F15" s="489">
        <f t="shared" si="2"/>
        <v>1406571.52904215</v>
      </c>
      <c r="G15" s="490"/>
    </row>
  </sheetData>
  <mergeCells count="11">
    <mergeCell ref="A3:F3"/>
    <mergeCell ref="A5:A7"/>
    <mergeCell ref="A9:A10"/>
    <mergeCell ref="B5:B7"/>
    <mergeCell ref="C5:C7"/>
    <mergeCell ref="C9:C10"/>
    <mergeCell ref="D9:D10"/>
    <mergeCell ref="E5:E7"/>
    <mergeCell ref="E9:E10"/>
    <mergeCell ref="F9:F10"/>
    <mergeCell ref="G5:G7"/>
  </mergeCells>
  <pageMargins left="0.707638888888889" right="0.707638888888889" top="0.747916666666667" bottom="0.747916666666667" header="0.313888888888889" footer="0.313888888888889"/>
  <pageSetup paperSize="9"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61"/>
  <sheetViews>
    <sheetView workbookViewId="0">
      <selection activeCell="K43" sqref="K43"/>
    </sheetView>
  </sheetViews>
  <sheetFormatPr defaultColWidth="9" defaultRowHeight="14.25"/>
  <cols>
    <col min="1" max="1" width="6.375" style="431" customWidth="1"/>
    <col min="2" max="2" width="20.125" style="432" customWidth="1"/>
    <col min="3" max="3" width="20.125" style="431" customWidth="1"/>
    <col min="4" max="4" width="13.625" style="431" customWidth="1"/>
    <col min="5" max="9" width="11.75" style="431" customWidth="1"/>
    <col min="10" max="10" width="15" style="431" customWidth="1"/>
    <col min="11" max="11" width="11.25" style="431" customWidth="1"/>
    <col min="12" max="12" width="9" style="431"/>
    <col min="13" max="13" width="9.5" style="431" customWidth="1"/>
    <col min="14" max="16384" width="9" style="431"/>
  </cols>
  <sheetData>
    <row r="1" ht="28.5" customHeight="1" spans="1:9">
      <c r="A1" s="433" t="s">
        <v>0</v>
      </c>
      <c r="B1" s="433"/>
      <c r="C1" s="433"/>
      <c r="D1" s="433"/>
      <c r="E1" s="433"/>
      <c r="F1" s="433"/>
      <c r="G1" s="433"/>
      <c r="H1" s="433"/>
      <c r="I1" s="433"/>
    </row>
    <row r="2" s="428" customFormat="1" ht="19.9" customHeight="1" spans="1:9">
      <c r="A2" s="434" t="s">
        <v>1</v>
      </c>
      <c r="B2" s="435" t="s">
        <v>2</v>
      </c>
      <c r="C2" s="435" t="s">
        <v>3</v>
      </c>
      <c r="D2" s="434" t="s">
        <v>4</v>
      </c>
      <c r="E2" s="436" t="s">
        <v>5</v>
      </c>
      <c r="F2" s="437"/>
      <c r="G2" s="437"/>
      <c r="H2" s="437"/>
      <c r="I2" s="467"/>
    </row>
    <row r="3" s="428" customFormat="1" ht="19.9" customHeight="1" spans="1:9">
      <c r="A3" s="434"/>
      <c r="B3" s="438"/>
      <c r="C3" s="438"/>
      <c r="D3" s="434"/>
      <c r="E3" s="435" t="s">
        <v>6</v>
      </c>
      <c r="F3" s="435" t="s">
        <v>7</v>
      </c>
      <c r="G3" s="435" t="s">
        <v>8</v>
      </c>
      <c r="H3" s="435" t="s">
        <v>9</v>
      </c>
      <c r="I3" s="435" t="s">
        <v>10</v>
      </c>
    </row>
    <row r="4" s="429" customFormat="1" ht="24" customHeight="1" spans="1:9">
      <c r="A4" s="636" t="s">
        <v>11</v>
      </c>
      <c r="B4" s="435" t="s">
        <v>12</v>
      </c>
      <c r="C4" s="329" t="s">
        <v>4</v>
      </c>
      <c r="D4" s="439">
        <f>SUM(E4:I4)</f>
        <v>1330420.73248115</v>
      </c>
      <c r="E4" s="440">
        <f>E8+E32</f>
        <v>331889.934542387</v>
      </c>
      <c r="F4" s="440">
        <f>F8+F32</f>
        <v>300614.579856759</v>
      </c>
      <c r="G4" s="440">
        <f>G8+G32</f>
        <v>311681.566848332</v>
      </c>
      <c r="H4" s="440">
        <f>H8+H32</f>
        <v>190642.520871505</v>
      </c>
      <c r="I4" s="440">
        <f>I8+I32</f>
        <v>195592.130362168</v>
      </c>
    </row>
    <row r="5" s="429" customFormat="1" ht="24" customHeight="1" spans="1:9">
      <c r="A5" s="441"/>
      <c r="B5" s="441"/>
      <c r="C5" s="329" t="s">
        <v>13</v>
      </c>
      <c r="D5" s="442">
        <f t="shared" ref="D5:D8" si="0">SUM(E5:I5)</f>
        <v>347765.455273828</v>
      </c>
      <c r="E5" s="443">
        <f t="shared" ref="E5:I7" si="1">E9+E33</f>
        <v>79378.2776318811</v>
      </c>
      <c r="F5" s="443">
        <f t="shared" si="1"/>
        <v>74732.0504248434</v>
      </c>
      <c r="G5" s="443">
        <f t="shared" si="1"/>
        <v>77487.9010614056</v>
      </c>
      <c r="H5" s="443">
        <f t="shared" si="1"/>
        <v>57149.6312287678</v>
      </c>
      <c r="I5" s="443">
        <f t="shared" si="1"/>
        <v>59017.5949269301</v>
      </c>
    </row>
    <row r="6" s="429" customFormat="1" ht="24" customHeight="1" spans="1:9">
      <c r="A6" s="441"/>
      <c r="B6" s="441"/>
      <c r="C6" s="329" t="s">
        <v>14</v>
      </c>
      <c r="D6" s="442">
        <f t="shared" si="0"/>
        <v>264243.418791064</v>
      </c>
      <c r="E6" s="443">
        <f t="shared" si="1"/>
        <v>69845.511460255</v>
      </c>
      <c r="F6" s="443">
        <f t="shared" si="1"/>
        <v>61821.4965991649</v>
      </c>
      <c r="G6" s="443">
        <f t="shared" si="1"/>
        <v>64095.0729416748</v>
      </c>
      <c r="H6" s="443">
        <f t="shared" si="1"/>
        <v>34240.6688949847</v>
      </c>
      <c r="I6" s="443">
        <f t="shared" si="1"/>
        <v>34240.6688949847</v>
      </c>
    </row>
    <row r="7" s="429" customFormat="1" ht="24" customHeight="1" spans="1:9">
      <c r="A7" s="438"/>
      <c r="B7" s="438"/>
      <c r="C7" s="329" t="s">
        <v>15</v>
      </c>
      <c r="D7" s="442">
        <f t="shared" si="0"/>
        <v>718411.85841626</v>
      </c>
      <c r="E7" s="443">
        <f t="shared" si="1"/>
        <v>182666.14545025</v>
      </c>
      <c r="F7" s="443">
        <f t="shared" si="1"/>
        <v>164061.032832751</v>
      </c>
      <c r="G7" s="443">
        <f t="shared" si="1"/>
        <v>170098.592845252</v>
      </c>
      <c r="H7" s="443">
        <f t="shared" si="1"/>
        <v>99252.2207477528</v>
      </c>
      <c r="I7" s="443">
        <f t="shared" si="1"/>
        <v>102333.866540254</v>
      </c>
    </row>
    <row r="8" ht="24" customHeight="1" spans="1:9">
      <c r="A8" s="636" t="s">
        <v>16</v>
      </c>
      <c r="B8" s="444" t="s">
        <v>17</v>
      </c>
      <c r="C8" s="329" t="s">
        <v>4</v>
      </c>
      <c r="D8" s="439">
        <f t="shared" si="0"/>
        <v>1195661.268619</v>
      </c>
      <c r="E8" s="445">
        <f>E16+E20+E24+E28</f>
        <v>325509.9397238</v>
      </c>
      <c r="F8" s="445">
        <f t="shared" ref="F8:I8" si="2">F16+F20+F24+F28</f>
        <v>282321.0967238</v>
      </c>
      <c r="G8" s="445">
        <f t="shared" si="2"/>
        <v>282321.0967238</v>
      </c>
      <c r="H8" s="445">
        <f t="shared" si="2"/>
        <v>152754.5677238</v>
      </c>
      <c r="I8" s="445">
        <f t="shared" si="2"/>
        <v>152754.5677238</v>
      </c>
    </row>
    <row r="9" ht="24" customHeight="1" spans="1:11">
      <c r="A9" s="441"/>
      <c r="B9" s="446"/>
      <c r="C9" s="329" t="s">
        <v>13</v>
      </c>
      <c r="D9" s="442">
        <f t="shared" ref="D9:D11" si="3">SUM(E9:I9)</f>
        <v>313761.265786</v>
      </c>
      <c r="E9" s="447">
        <f>E17+E21+E25+E29</f>
        <v>77852.3711572</v>
      </c>
      <c r="F9" s="447">
        <f t="shared" ref="E9:I11" si="4">F17+F21+F25+F29</f>
        <v>70302.3121572</v>
      </c>
      <c r="G9" s="447">
        <f t="shared" si="4"/>
        <v>70302.3121572</v>
      </c>
      <c r="H9" s="447">
        <f t="shared" si="4"/>
        <v>47652.1351572</v>
      </c>
      <c r="I9" s="447">
        <f t="shared" si="4"/>
        <v>47652.1351572</v>
      </c>
      <c r="K9"/>
    </row>
    <row r="10" ht="24" customHeight="1" spans="1:11">
      <c r="A10" s="441"/>
      <c r="B10" s="446"/>
      <c r="C10" s="329" t="s">
        <v>14</v>
      </c>
      <c r="D10" s="442">
        <f t="shared" si="3"/>
        <v>237479.687463</v>
      </c>
      <c r="E10" s="447">
        <f t="shared" si="4"/>
        <v>68502.8554926</v>
      </c>
      <c r="F10" s="447">
        <f t="shared" si="4"/>
        <v>57999.3964926</v>
      </c>
      <c r="G10" s="447">
        <f t="shared" si="4"/>
        <v>57999.3964926</v>
      </c>
      <c r="H10" s="447">
        <f t="shared" si="4"/>
        <v>26489.0194926</v>
      </c>
      <c r="I10" s="447">
        <f t="shared" si="4"/>
        <v>26489.0194926</v>
      </c>
      <c r="K10"/>
    </row>
    <row r="11" ht="24" customHeight="1" spans="1:11">
      <c r="A11" s="438"/>
      <c r="B11" s="448"/>
      <c r="C11" s="329" t="s">
        <v>15</v>
      </c>
      <c r="D11" s="442">
        <f t="shared" si="3"/>
        <v>644420.31537</v>
      </c>
      <c r="E11" s="447">
        <f t="shared" si="4"/>
        <v>179154.713074</v>
      </c>
      <c r="F11" s="447">
        <f t="shared" si="4"/>
        <v>154019.388074</v>
      </c>
      <c r="G11" s="447">
        <f t="shared" si="4"/>
        <v>154019.388074</v>
      </c>
      <c r="H11" s="447">
        <f t="shared" si="4"/>
        <v>78613.413074</v>
      </c>
      <c r="I11" s="447">
        <f t="shared" si="4"/>
        <v>78613.413074</v>
      </c>
      <c r="K11"/>
    </row>
    <row r="12" ht="24" customHeight="1" spans="1:9">
      <c r="A12" s="637" t="s">
        <v>18</v>
      </c>
      <c r="B12" s="435" t="s">
        <v>19</v>
      </c>
      <c r="C12" s="329" t="s">
        <v>4</v>
      </c>
      <c r="D12" s="440">
        <f>SUM(D13:D15)</f>
        <v>720442.73</v>
      </c>
      <c r="E12" s="440">
        <f>SUM(E13:E15)</f>
        <v>144088.546</v>
      </c>
      <c r="F12" s="440">
        <f t="shared" ref="F12:I12" si="5">SUM(F13:F15)</f>
        <v>144088.546</v>
      </c>
      <c r="G12" s="440">
        <f t="shared" si="5"/>
        <v>144088.546</v>
      </c>
      <c r="H12" s="440">
        <f t="shared" si="5"/>
        <v>144088.546</v>
      </c>
      <c r="I12" s="440">
        <f t="shared" si="5"/>
        <v>144088.546</v>
      </c>
    </row>
    <row r="13" ht="24" customHeight="1" spans="1:9">
      <c r="A13" s="450"/>
      <c r="B13" s="441"/>
      <c r="C13" s="329" t="s">
        <v>13</v>
      </c>
      <c r="D13" s="443">
        <v>227454.12</v>
      </c>
      <c r="E13" s="447">
        <f>D13*0.2</f>
        <v>45490.824</v>
      </c>
      <c r="F13" s="447">
        <f>D13*0.2</f>
        <v>45490.824</v>
      </c>
      <c r="G13" s="447">
        <f>D13*0.2</f>
        <v>45490.824</v>
      </c>
      <c r="H13" s="447">
        <f>D13*0.2</f>
        <v>45490.824</v>
      </c>
      <c r="I13" s="447">
        <f>D13*0.2</f>
        <v>45490.824</v>
      </c>
    </row>
    <row r="14" ht="24" customHeight="1" spans="1:9">
      <c r="A14" s="450"/>
      <c r="B14" s="441"/>
      <c r="C14" s="329" t="s">
        <v>14</v>
      </c>
      <c r="D14" s="443">
        <f>'项目建设投资估算表 '!O5</f>
        <v>123564.21</v>
      </c>
      <c r="E14" s="447">
        <f>D14*0.2</f>
        <v>24712.842</v>
      </c>
      <c r="F14" s="447">
        <f>D14*0.2</f>
        <v>24712.842</v>
      </c>
      <c r="G14" s="447">
        <f>D14*0.2</f>
        <v>24712.842</v>
      </c>
      <c r="H14" s="447">
        <f>D14*0.2</f>
        <v>24712.842</v>
      </c>
      <c r="I14" s="447">
        <f>D14*0.2</f>
        <v>24712.842</v>
      </c>
    </row>
    <row r="15" ht="24" customHeight="1" spans="1:9">
      <c r="A15" s="450"/>
      <c r="B15" s="438"/>
      <c r="C15" s="329" t="s">
        <v>15</v>
      </c>
      <c r="D15" s="443">
        <f>'项目建设投资估算表 '!U5</f>
        <v>369424.4</v>
      </c>
      <c r="E15" s="447">
        <f>D15*0.2</f>
        <v>73884.88</v>
      </c>
      <c r="F15" s="447">
        <f>D15*0.2</f>
        <v>73884.88</v>
      </c>
      <c r="G15" s="447">
        <f>D15*0.2</f>
        <v>73884.88</v>
      </c>
      <c r="H15" s="447">
        <f>D15*0.2</f>
        <v>73884.88</v>
      </c>
      <c r="I15" s="447">
        <f>D15*0.2</f>
        <v>73884.88</v>
      </c>
    </row>
    <row r="16" ht="24" customHeight="1" spans="1:9">
      <c r="A16" s="450"/>
      <c r="B16" s="435" t="s">
        <v>37</v>
      </c>
      <c r="C16" s="451" t="s">
        <v>4</v>
      </c>
      <c r="D16" s="452">
        <f>SUM(D17:D19)</f>
        <v>644291.933439</v>
      </c>
      <c r="E16" s="452">
        <f t="shared" ref="E16:I16" si="6">SUM(E17:E19)</f>
        <v>128858.3866878</v>
      </c>
      <c r="F16" s="452">
        <f t="shared" si="6"/>
        <v>128858.3866878</v>
      </c>
      <c r="G16" s="452">
        <f t="shared" si="6"/>
        <v>128858.3866878</v>
      </c>
      <c r="H16" s="452">
        <f t="shared" si="6"/>
        <v>128858.3866878</v>
      </c>
      <c r="I16" s="452">
        <f t="shared" si="6"/>
        <v>128858.3866878</v>
      </c>
    </row>
    <row r="17" ht="24" customHeight="1" spans="1:15">
      <c r="A17" s="450"/>
      <c r="B17" s="441"/>
      <c r="C17" s="329" t="s">
        <v>38</v>
      </c>
      <c r="D17" s="443">
        <f>SUM(E17:I17)</f>
        <v>203412.219516</v>
      </c>
      <c r="E17" s="443">
        <f t="shared" ref="E17:I19" si="7">E13*(1-10.57%)</f>
        <v>40682.4439032</v>
      </c>
      <c r="F17" s="443">
        <f t="shared" si="7"/>
        <v>40682.4439032</v>
      </c>
      <c r="G17" s="443">
        <f t="shared" si="7"/>
        <v>40682.4439032</v>
      </c>
      <c r="H17" s="443">
        <f t="shared" si="7"/>
        <v>40682.4439032</v>
      </c>
      <c r="I17" s="443">
        <f t="shared" si="7"/>
        <v>40682.4439032</v>
      </c>
      <c r="J17"/>
      <c r="K17"/>
      <c r="L17"/>
      <c r="M17"/>
      <c r="N17"/>
      <c r="O17" s="468"/>
    </row>
    <row r="18" ht="24" customHeight="1" spans="1:15">
      <c r="A18" s="450"/>
      <c r="B18" s="441"/>
      <c r="C18" s="329" t="s">
        <v>39</v>
      </c>
      <c r="D18" s="443">
        <f t="shared" ref="D18:D19" si="8">SUM(E18:I18)</f>
        <v>110503.473003</v>
      </c>
      <c r="E18" s="443">
        <f t="shared" si="7"/>
        <v>22100.6946006</v>
      </c>
      <c r="F18" s="443">
        <f t="shared" si="7"/>
        <v>22100.6946006</v>
      </c>
      <c r="G18" s="443">
        <f t="shared" si="7"/>
        <v>22100.6946006</v>
      </c>
      <c r="H18" s="443">
        <f t="shared" si="7"/>
        <v>22100.6946006</v>
      </c>
      <c r="I18" s="443">
        <f t="shared" si="7"/>
        <v>22100.6946006</v>
      </c>
      <c r="J18"/>
      <c r="K18"/>
      <c r="L18"/>
      <c r="M18"/>
      <c r="N18"/>
      <c r="O18" s="468"/>
    </row>
    <row r="19" ht="24" customHeight="1" spans="1:15">
      <c r="A19" s="453"/>
      <c r="B19" s="438"/>
      <c r="C19" s="329" t="s">
        <v>40</v>
      </c>
      <c r="D19" s="443">
        <f t="shared" si="8"/>
        <v>330376.24092</v>
      </c>
      <c r="E19" s="443">
        <f t="shared" si="7"/>
        <v>66075.248184</v>
      </c>
      <c r="F19" s="443">
        <f t="shared" si="7"/>
        <v>66075.248184</v>
      </c>
      <c r="G19" s="443">
        <f t="shared" si="7"/>
        <v>66075.248184</v>
      </c>
      <c r="H19" s="443">
        <f t="shared" si="7"/>
        <v>66075.248184</v>
      </c>
      <c r="I19" s="443">
        <f t="shared" si="7"/>
        <v>66075.248184</v>
      </c>
      <c r="J19"/>
      <c r="K19"/>
      <c r="L19"/>
      <c r="M19"/>
      <c r="N19"/>
      <c r="O19" s="468"/>
    </row>
    <row r="20" ht="24" customHeight="1" spans="1:9">
      <c r="A20" s="637" t="s">
        <v>21</v>
      </c>
      <c r="B20" s="444" t="s">
        <v>22</v>
      </c>
      <c r="C20" s="454" t="s">
        <v>4</v>
      </c>
      <c r="D20" s="440">
        <f>SUM(D21:D23)</f>
        <v>79484.5416</v>
      </c>
      <c r="E20" s="440">
        <f>SUM(E21:E23)</f>
        <v>15896.90832</v>
      </c>
      <c r="F20" s="440">
        <f t="shared" ref="F20:I20" si="9">SUM(F21:F23)</f>
        <v>15896.90832</v>
      </c>
      <c r="G20" s="440">
        <f t="shared" si="9"/>
        <v>15896.90832</v>
      </c>
      <c r="H20" s="440">
        <f t="shared" si="9"/>
        <v>15896.90832</v>
      </c>
      <c r="I20" s="440">
        <f t="shared" si="9"/>
        <v>15896.90832</v>
      </c>
    </row>
    <row r="21" ht="24" customHeight="1" spans="1:9">
      <c r="A21" s="450"/>
      <c r="B21" s="446"/>
      <c r="C21" s="329" t="s">
        <v>13</v>
      </c>
      <c r="D21" s="443">
        <f>'项目建设投资估算表 '!I16-'项目建设投资估算表 '!I17</f>
        <v>22357.8574</v>
      </c>
      <c r="E21" s="447">
        <f>D21*0.2</f>
        <v>4471.57148</v>
      </c>
      <c r="F21" s="447">
        <f>D21*0.2</f>
        <v>4471.57148</v>
      </c>
      <c r="G21" s="447">
        <f>D21*0.2</f>
        <v>4471.57148</v>
      </c>
      <c r="H21" s="447">
        <f>D21*0.2</f>
        <v>4471.57148</v>
      </c>
      <c r="I21" s="447">
        <f>D21*0.2</f>
        <v>4471.57148</v>
      </c>
    </row>
    <row r="22" ht="24" customHeight="1" spans="1:9">
      <c r="A22" s="450"/>
      <c r="B22" s="446"/>
      <c r="C22" s="329" t="s">
        <v>14</v>
      </c>
      <c r="D22" s="443">
        <f>'项目建设投资估算表 '!O16-'项目建设投资估算表 '!O17</f>
        <v>15012.7752</v>
      </c>
      <c r="E22" s="447">
        <f t="shared" ref="E22:E23" si="10">D22*0.2</f>
        <v>3002.55504</v>
      </c>
      <c r="F22" s="447">
        <f t="shared" ref="F22:F23" si="11">D22*0.2</f>
        <v>3002.55504</v>
      </c>
      <c r="G22" s="447">
        <f t="shared" ref="G22:G23" si="12">D22*0.2</f>
        <v>3002.55504</v>
      </c>
      <c r="H22" s="447">
        <f t="shared" ref="H22:H23" si="13">D22*0.2</f>
        <v>3002.55504</v>
      </c>
      <c r="I22" s="447">
        <f t="shared" ref="I22:I23" si="14">D22*0.2</f>
        <v>3002.55504</v>
      </c>
    </row>
    <row r="23" ht="24" customHeight="1" spans="1:9">
      <c r="A23" s="453"/>
      <c r="B23" s="448"/>
      <c r="C23" s="329" t="s">
        <v>15</v>
      </c>
      <c r="D23" s="443">
        <f>'项目建设投资估算表 '!U16-'项目建设投资估算表 '!U17</f>
        <v>42113.909</v>
      </c>
      <c r="E23" s="447">
        <f t="shared" si="10"/>
        <v>8422.78180000001</v>
      </c>
      <c r="F23" s="447">
        <f t="shared" si="11"/>
        <v>8422.78180000001</v>
      </c>
      <c r="G23" s="447">
        <f t="shared" si="12"/>
        <v>8422.78180000001</v>
      </c>
      <c r="H23" s="447">
        <f t="shared" si="13"/>
        <v>8422.78180000001</v>
      </c>
      <c r="I23" s="447">
        <f t="shared" si="14"/>
        <v>8422.78180000001</v>
      </c>
    </row>
    <row r="24" ht="24" customHeight="1" spans="1:9">
      <c r="A24" s="449" t="s">
        <v>23</v>
      </c>
      <c r="B24" s="444" t="s">
        <v>24</v>
      </c>
      <c r="C24" s="454" t="s">
        <v>4</v>
      </c>
      <c r="D24" s="440">
        <f>SUM(D25:D27)</f>
        <v>431888.43</v>
      </c>
      <c r="E24" s="440">
        <f t="shared" ref="E24:G24" si="15">SUM(E25:E27)</f>
        <v>172755.372</v>
      </c>
      <c r="F24" s="440">
        <f t="shared" si="15"/>
        <v>129566.529</v>
      </c>
      <c r="G24" s="440">
        <f t="shared" si="15"/>
        <v>129566.529</v>
      </c>
      <c r="H24" s="440"/>
      <c r="I24" s="440"/>
    </row>
    <row r="25" ht="24" customHeight="1" spans="1:9">
      <c r="A25" s="450"/>
      <c r="B25" s="446"/>
      <c r="C25" s="329" t="s">
        <v>13</v>
      </c>
      <c r="D25" s="443">
        <v>75500.59</v>
      </c>
      <c r="E25" s="443">
        <f>D25*0.4</f>
        <v>30200.236</v>
      </c>
      <c r="F25" s="443">
        <f>D25*0.3</f>
        <v>22650.177</v>
      </c>
      <c r="G25" s="443">
        <f>D25*0.3</f>
        <v>22650.177</v>
      </c>
      <c r="H25" s="443"/>
      <c r="I25" s="443"/>
    </row>
    <row r="26" ht="24" customHeight="1" spans="1:9">
      <c r="A26" s="450"/>
      <c r="B26" s="446"/>
      <c r="C26" s="329" t="s">
        <v>14</v>
      </c>
      <c r="D26" s="443">
        <f>'项目建设投资估算表 '!O17</f>
        <v>105034.59</v>
      </c>
      <c r="E26" s="443">
        <f>D26*0.4</f>
        <v>42013.836</v>
      </c>
      <c r="F26" s="443">
        <f>D26*0.3</f>
        <v>31510.377</v>
      </c>
      <c r="G26" s="443">
        <f>D26*0.3</f>
        <v>31510.377</v>
      </c>
      <c r="H26" s="443"/>
      <c r="I26" s="443"/>
    </row>
    <row r="27" ht="24" customHeight="1" spans="1:9">
      <c r="A27" s="453"/>
      <c r="B27" s="448"/>
      <c r="C27" s="329" t="s">
        <v>15</v>
      </c>
      <c r="D27" s="443">
        <f>'项目建设投资估算表 '!U17</f>
        <v>251353.25</v>
      </c>
      <c r="E27" s="443">
        <f>D27*0.4</f>
        <v>100541.3</v>
      </c>
      <c r="F27" s="443">
        <f>D27*0.3</f>
        <v>75405.975</v>
      </c>
      <c r="G27" s="443">
        <f>D27*0.3</f>
        <v>75405.975</v>
      </c>
      <c r="H27" s="443"/>
      <c r="I27" s="443"/>
    </row>
    <row r="28" ht="24" customHeight="1" spans="1:9">
      <c r="A28" s="637" t="s">
        <v>25</v>
      </c>
      <c r="B28" s="435" t="s">
        <v>26</v>
      </c>
      <c r="C28" s="329" t="s">
        <v>4</v>
      </c>
      <c r="D28" s="440">
        <f>SUM(D29:D31)</f>
        <v>39996.36358</v>
      </c>
      <c r="E28" s="440">
        <f t="shared" ref="E28:I28" si="16">SUM(E29:E31)</f>
        <v>7999.272716</v>
      </c>
      <c r="F28" s="440">
        <f t="shared" si="16"/>
        <v>7999.272716</v>
      </c>
      <c r="G28" s="440">
        <f t="shared" si="16"/>
        <v>7999.272716</v>
      </c>
      <c r="H28" s="440">
        <f t="shared" si="16"/>
        <v>7999.272716</v>
      </c>
      <c r="I28" s="440">
        <f t="shared" si="16"/>
        <v>7999.272716</v>
      </c>
    </row>
    <row r="29" ht="24" customHeight="1" spans="1:9">
      <c r="A29" s="450"/>
      <c r="B29" s="441"/>
      <c r="C29" s="329" t="s">
        <v>13</v>
      </c>
      <c r="D29" s="443">
        <f>'项目建设投资估算表 '!I53</f>
        <v>12490.59887</v>
      </c>
      <c r="E29" s="447">
        <f>D29*0.2</f>
        <v>2498.119774</v>
      </c>
      <c r="F29" s="447">
        <f>D29*0.2</f>
        <v>2498.119774</v>
      </c>
      <c r="G29" s="447">
        <f>D29*0.2</f>
        <v>2498.119774</v>
      </c>
      <c r="H29" s="447">
        <f>D29*0.2</f>
        <v>2498.119774</v>
      </c>
      <c r="I29" s="447">
        <f>D29*0.2</f>
        <v>2498.119774</v>
      </c>
    </row>
    <row r="30" ht="24" customHeight="1" spans="1:9">
      <c r="A30" s="450"/>
      <c r="B30" s="441"/>
      <c r="C30" s="329" t="s">
        <v>14</v>
      </c>
      <c r="D30" s="443">
        <f>'项目建设投资估算表 '!O53</f>
        <v>6928.84926</v>
      </c>
      <c r="E30" s="447">
        <f t="shared" ref="E30:E31" si="17">D30*0.2</f>
        <v>1385.769852</v>
      </c>
      <c r="F30" s="447">
        <f t="shared" ref="F30:F31" si="18">D30*0.2</f>
        <v>1385.769852</v>
      </c>
      <c r="G30" s="447">
        <f t="shared" ref="G30:G31" si="19">D30*0.2</f>
        <v>1385.769852</v>
      </c>
      <c r="H30" s="447">
        <f t="shared" ref="H30:H31" si="20">D30*0.2</f>
        <v>1385.769852</v>
      </c>
      <c r="I30" s="447">
        <f t="shared" ref="I30:I31" si="21">D30*0.2</f>
        <v>1385.769852</v>
      </c>
    </row>
    <row r="31" ht="24" customHeight="1" spans="1:9">
      <c r="A31" s="453"/>
      <c r="B31" s="438"/>
      <c r="C31" s="329" t="s">
        <v>15</v>
      </c>
      <c r="D31" s="443">
        <f>'项目建设投资估算表 '!U53</f>
        <v>20576.91545</v>
      </c>
      <c r="E31" s="447">
        <f t="shared" si="17"/>
        <v>4115.38309</v>
      </c>
      <c r="F31" s="447">
        <f t="shared" si="18"/>
        <v>4115.38309</v>
      </c>
      <c r="G31" s="447">
        <f t="shared" si="19"/>
        <v>4115.38309</v>
      </c>
      <c r="H31" s="447">
        <f t="shared" si="20"/>
        <v>4115.38309</v>
      </c>
      <c r="I31" s="447">
        <f t="shared" si="21"/>
        <v>4115.38309</v>
      </c>
    </row>
    <row r="32" ht="24" customHeight="1" spans="1:9">
      <c r="A32" s="636" t="s">
        <v>27</v>
      </c>
      <c r="B32" s="435" t="s">
        <v>28</v>
      </c>
      <c r="C32" s="322" t="s">
        <v>4</v>
      </c>
      <c r="D32" s="440">
        <f>SUM(E32:I32)</f>
        <v>134759.463862152</v>
      </c>
      <c r="E32" s="440">
        <f>SUM(E33:E35)</f>
        <v>6379.99481858648</v>
      </c>
      <c r="F32" s="440">
        <f t="shared" ref="F32:I32" si="22">SUM(F33:F35)</f>
        <v>18293.4831329594</v>
      </c>
      <c r="G32" s="440">
        <f t="shared" si="22"/>
        <v>29360.4701245324</v>
      </c>
      <c r="H32" s="440">
        <f t="shared" si="22"/>
        <v>37887.9531477054</v>
      </c>
      <c r="I32" s="440">
        <f t="shared" si="22"/>
        <v>42837.5626383684</v>
      </c>
    </row>
    <row r="33" ht="24" customHeight="1" spans="1:9">
      <c r="A33" s="441"/>
      <c r="B33" s="441"/>
      <c r="C33" s="329" t="s">
        <v>13</v>
      </c>
      <c r="D33" s="443">
        <f>SUM(E33:I33)</f>
        <v>34004.189487828</v>
      </c>
      <c r="E33" s="443">
        <f>'建设期支付利息还本付息计划表  '!E26</f>
        <v>1525.90647468112</v>
      </c>
      <c r="F33" s="443">
        <f>'建设期支付利息还本付息计划表  '!F26</f>
        <v>4429.73826764336</v>
      </c>
      <c r="G33" s="443">
        <f>'建设期支付利息还本付息计划表  '!G26</f>
        <v>7185.5889042056</v>
      </c>
      <c r="H33" s="443">
        <f>'建设期支付利息还本付息计划表  '!H26</f>
        <v>9497.49607156784</v>
      </c>
      <c r="I33" s="443">
        <f>'建设期支付利息还本付息计划表  '!I26</f>
        <v>11365.4597697301</v>
      </c>
    </row>
    <row r="34" ht="24" customHeight="1" spans="1:9">
      <c r="A34" s="441"/>
      <c r="B34" s="441"/>
      <c r="C34" s="329" t="s">
        <v>14</v>
      </c>
      <c r="D34" s="443">
        <f t="shared" ref="D34:D35" si="23">SUM(E34:I34)</f>
        <v>26763.7313280641</v>
      </c>
      <c r="E34" s="443">
        <f>'建设期支付利息还本付息计划表  '!E27</f>
        <v>1342.65596765496</v>
      </c>
      <c r="F34" s="443">
        <f>'建设期支付利息还本付息计划表  '!F27</f>
        <v>3822.10010656488</v>
      </c>
      <c r="G34" s="443">
        <f>'建设期支付利息还本付息计划表  '!G27</f>
        <v>6095.6764490748</v>
      </c>
      <c r="H34" s="443">
        <f>'建设期支付利息还本付息计划表  '!H27</f>
        <v>7751.64940238472</v>
      </c>
      <c r="I34" s="443">
        <f>'建设期支付利息还本付息计划表  '!I27</f>
        <v>7751.64940238472</v>
      </c>
    </row>
    <row r="35" ht="24" customHeight="1" spans="1:9">
      <c r="A35" s="438"/>
      <c r="B35" s="438"/>
      <c r="C35" s="329" t="s">
        <v>15</v>
      </c>
      <c r="D35" s="443">
        <f t="shared" si="23"/>
        <v>73991.54304626</v>
      </c>
      <c r="E35" s="443">
        <f>'建设期支付利息还本付息计划表  '!E28</f>
        <v>3511.4323762504</v>
      </c>
      <c r="F35" s="443">
        <f>'建设期支付利息还本付息计划表  '!F28</f>
        <v>10041.6447587512</v>
      </c>
      <c r="G35" s="443">
        <f>'建设期支付利息还本付息计划表  '!G28</f>
        <v>16079.204771252</v>
      </c>
      <c r="H35" s="443">
        <f>'建设期支付利息还本付息计划表  '!H28</f>
        <v>20638.8076737528</v>
      </c>
      <c r="I35" s="443">
        <f>'建设期支付利息还本付息计划表  '!I28</f>
        <v>23720.4534662536</v>
      </c>
    </row>
    <row r="36" s="429" customFormat="1" ht="24" customHeight="1" spans="1:9">
      <c r="A36" s="435">
        <v>2</v>
      </c>
      <c r="B36" s="435" t="s">
        <v>29</v>
      </c>
      <c r="C36" s="322" t="s">
        <v>4</v>
      </c>
      <c r="D36" s="440">
        <f>D8</f>
        <v>1195661.268619</v>
      </c>
      <c r="E36" s="440">
        <f>E40+E48</f>
        <v>325509.9397238</v>
      </c>
      <c r="F36" s="440">
        <f>F40+F48</f>
        <v>282321.0967238</v>
      </c>
      <c r="G36" s="440">
        <f>G40+G48</f>
        <v>282321.0967238</v>
      </c>
      <c r="H36" s="440">
        <f>H40+H48</f>
        <v>152754.5677238</v>
      </c>
      <c r="I36" s="440">
        <f>I40+I48</f>
        <v>152754.5677238</v>
      </c>
    </row>
    <row r="37" s="429" customFormat="1" ht="24" customHeight="1" spans="1:9">
      <c r="A37" s="441"/>
      <c r="B37" s="441"/>
      <c r="C37" s="329" t="s">
        <v>13</v>
      </c>
      <c r="D37" s="443">
        <f>SUM(E37:I37)</f>
        <v>313761.265786</v>
      </c>
      <c r="E37" s="443">
        <f t="shared" ref="E37:I39" si="24">E41+E49</f>
        <v>77852.3711572</v>
      </c>
      <c r="F37" s="443">
        <f t="shared" si="24"/>
        <v>70302.3121572</v>
      </c>
      <c r="G37" s="443">
        <f t="shared" si="24"/>
        <v>70302.3121572</v>
      </c>
      <c r="H37" s="443">
        <f t="shared" si="24"/>
        <v>47652.1351572</v>
      </c>
      <c r="I37" s="443">
        <f t="shared" si="24"/>
        <v>47652.1351572</v>
      </c>
    </row>
    <row r="38" s="429" customFormat="1" ht="24" customHeight="1" spans="1:9">
      <c r="A38" s="441"/>
      <c r="B38" s="441"/>
      <c r="C38" s="329" t="s">
        <v>14</v>
      </c>
      <c r="D38" s="443">
        <f t="shared" ref="D38:D43" si="25">SUM(E38:I38)</f>
        <v>237479.687463</v>
      </c>
      <c r="E38" s="443">
        <f t="shared" si="24"/>
        <v>68502.8554926</v>
      </c>
      <c r="F38" s="443">
        <f t="shared" si="24"/>
        <v>57999.3964926</v>
      </c>
      <c r="G38" s="443">
        <f t="shared" si="24"/>
        <v>57999.3964926</v>
      </c>
      <c r="H38" s="443">
        <f t="shared" si="24"/>
        <v>26489.0194926</v>
      </c>
      <c r="I38" s="443">
        <f t="shared" si="24"/>
        <v>26489.0194926</v>
      </c>
    </row>
    <row r="39" s="429" customFormat="1" ht="24" customHeight="1" spans="1:9">
      <c r="A39" s="438"/>
      <c r="B39" s="438"/>
      <c r="C39" s="329" t="s">
        <v>15</v>
      </c>
      <c r="D39" s="443">
        <f t="shared" si="25"/>
        <v>644420.31537</v>
      </c>
      <c r="E39" s="443">
        <f t="shared" si="24"/>
        <v>179154.713074</v>
      </c>
      <c r="F39" s="443">
        <f t="shared" si="24"/>
        <v>154019.388074</v>
      </c>
      <c r="G39" s="443">
        <f t="shared" si="24"/>
        <v>154019.388074</v>
      </c>
      <c r="H39" s="443">
        <f t="shared" si="24"/>
        <v>78613.413074</v>
      </c>
      <c r="I39" s="443">
        <f t="shared" si="24"/>
        <v>78613.413074</v>
      </c>
    </row>
    <row r="40" ht="24" customHeight="1" spans="1:10">
      <c r="A40" s="455">
        <v>2.1</v>
      </c>
      <c r="B40" s="435" t="s">
        <v>30</v>
      </c>
      <c r="C40" s="322" t="s">
        <v>4</v>
      </c>
      <c r="D40" s="440">
        <f t="shared" si="25"/>
        <v>239132.2537238</v>
      </c>
      <c r="E40" s="440">
        <f>SUM(E44:E44)</f>
        <v>65101.98794476</v>
      </c>
      <c r="F40" s="440">
        <f>SUM(F44:F44)</f>
        <v>56464.21934476</v>
      </c>
      <c r="G40" s="440">
        <f>SUM(G44:G44)</f>
        <v>56464.21934476</v>
      </c>
      <c r="H40" s="440">
        <f>SUM(H44:H44)</f>
        <v>30550.91354476</v>
      </c>
      <c r="I40" s="440">
        <f>SUM(I44:I44)</f>
        <v>30550.91354476</v>
      </c>
      <c r="J40" s="469"/>
    </row>
    <row r="41" ht="24" customHeight="1" spans="1:9">
      <c r="A41" s="456"/>
      <c r="B41" s="441"/>
      <c r="C41" s="329" t="s">
        <v>13</v>
      </c>
      <c r="D41" s="457">
        <f t="shared" si="25"/>
        <v>62752.2531572</v>
      </c>
      <c r="E41" s="443">
        <f>SUM(E45:E45)</f>
        <v>15570.47423144</v>
      </c>
      <c r="F41" s="443">
        <f t="shared" ref="F41:I41" si="26">SUM(F45:F45)</f>
        <v>14060.46243144</v>
      </c>
      <c r="G41" s="443">
        <f t="shared" si="26"/>
        <v>14060.46243144</v>
      </c>
      <c r="H41" s="443">
        <f t="shared" si="26"/>
        <v>9530.42703144</v>
      </c>
      <c r="I41" s="443">
        <f t="shared" si="26"/>
        <v>9530.42703144</v>
      </c>
    </row>
    <row r="42" ht="24" customHeight="1" spans="1:9">
      <c r="A42" s="456"/>
      <c r="B42" s="441"/>
      <c r="C42" s="329" t="s">
        <v>14</v>
      </c>
      <c r="D42" s="457">
        <f t="shared" si="25"/>
        <v>47495.9374926</v>
      </c>
      <c r="E42" s="443">
        <f t="shared" ref="E42:I43" si="27">SUM(E46:E46)</f>
        <v>13700.57109852</v>
      </c>
      <c r="F42" s="443">
        <f>SUM(F46:F46)</f>
        <v>11599.87929852</v>
      </c>
      <c r="G42" s="443">
        <f t="shared" si="27"/>
        <v>11599.87929852</v>
      </c>
      <c r="H42" s="443">
        <f t="shared" si="27"/>
        <v>5297.80389852</v>
      </c>
      <c r="I42" s="443">
        <f t="shared" si="27"/>
        <v>5297.80389852</v>
      </c>
    </row>
    <row r="43" ht="24" customHeight="1" spans="1:9">
      <c r="A43" s="458"/>
      <c r="B43" s="438"/>
      <c r="C43" s="329" t="s">
        <v>15</v>
      </c>
      <c r="D43" s="457">
        <f t="shared" si="25"/>
        <v>128884.063074</v>
      </c>
      <c r="E43" s="443">
        <f t="shared" si="27"/>
        <v>35830.9426148</v>
      </c>
      <c r="F43" s="443">
        <f t="shared" si="27"/>
        <v>30803.8776148</v>
      </c>
      <c r="G43" s="443">
        <f t="shared" si="27"/>
        <v>30803.8776148</v>
      </c>
      <c r="H43" s="443">
        <f t="shared" si="27"/>
        <v>15722.6826148</v>
      </c>
      <c r="I43" s="443">
        <f t="shared" si="27"/>
        <v>15722.6826148</v>
      </c>
    </row>
    <row r="44" ht="24" customHeight="1" spans="1:9">
      <c r="A44" s="637" t="s">
        <v>31</v>
      </c>
      <c r="B44" s="435" t="s">
        <v>32</v>
      </c>
      <c r="C44" s="322" t="s">
        <v>4</v>
      </c>
      <c r="D44" s="440">
        <f>D36*0.2</f>
        <v>239132.2537238</v>
      </c>
      <c r="E44" s="440">
        <f>E8*0.2</f>
        <v>65101.98794476</v>
      </c>
      <c r="F44" s="440">
        <f t="shared" ref="F44:I44" si="28">F8*0.2</f>
        <v>56464.21934476</v>
      </c>
      <c r="G44" s="440">
        <f t="shared" si="28"/>
        <v>56464.21934476</v>
      </c>
      <c r="H44" s="440">
        <f t="shared" si="28"/>
        <v>30550.91354476</v>
      </c>
      <c r="I44" s="440">
        <f t="shared" si="28"/>
        <v>30550.91354476</v>
      </c>
    </row>
    <row r="45" ht="24" customHeight="1" spans="1:9">
      <c r="A45" s="450"/>
      <c r="B45" s="441"/>
      <c r="C45" s="329" t="s">
        <v>13</v>
      </c>
      <c r="D45" s="443">
        <f>SUM(E45:I45)</f>
        <v>62752.2531572</v>
      </c>
      <c r="E45" s="443">
        <f>E9*0.2</f>
        <v>15570.47423144</v>
      </c>
      <c r="F45" s="443">
        <f t="shared" ref="F45:I45" si="29">F9*0.2</f>
        <v>14060.46243144</v>
      </c>
      <c r="G45" s="443">
        <f t="shared" si="29"/>
        <v>14060.46243144</v>
      </c>
      <c r="H45" s="443">
        <f t="shared" si="29"/>
        <v>9530.42703144</v>
      </c>
      <c r="I45" s="443">
        <f t="shared" si="29"/>
        <v>9530.42703144</v>
      </c>
    </row>
    <row r="46" ht="24" customHeight="1" spans="1:9">
      <c r="A46" s="450"/>
      <c r="B46" s="441"/>
      <c r="C46" s="329" t="s">
        <v>14</v>
      </c>
      <c r="D46" s="443">
        <f t="shared" ref="D46:D47" si="30">SUM(E46:I46)</f>
        <v>47495.9374926</v>
      </c>
      <c r="E46" s="443">
        <f t="shared" ref="E46:I46" si="31">E10*0.2</f>
        <v>13700.57109852</v>
      </c>
      <c r="F46" s="443">
        <f t="shared" si="31"/>
        <v>11599.87929852</v>
      </c>
      <c r="G46" s="443">
        <f t="shared" si="31"/>
        <v>11599.87929852</v>
      </c>
      <c r="H46" s="443">
        <f t="shared" si="31"/>
        <v>5297.80389852</v>
      </c>
      <c r="I46" s="443">
        <f t="shared" si="31"/>
        <v>5297.80389852</v>
      </c>
    </row>
    <row r="47" ht="24" customHeight="1" spans="1:9">
      <c r="A47" s="453"/>
      <c r="B47" s="438"/>
      <c r="C47" s="329" t="s">
        <v>15</v>
      </c>
      <c r="D47" s="443">
        <f t="shared" si="30"/>
        <v>128884.063074</v>
      </c>
      <c r="E47" s="443">
        <f t="shared" ref="E47:I47" si="32">E11*0.2</f>
        <v>35830.9426148</v>
      </c>
      <c r="F47" s="443">
        <f t="shared" si="32"/>
        <v>30803.8776148</v>
      </c>
      <c r="G47" s="443">
        <f t="shared" si="32"/>
        <v>30803.8776148</v>
      </c>
      <c r="H47" s="443">
        <f t="shared" si="32"/>
        <v>15722.6826148</v>
      </c>
      <c r="I47" s="443">
        <f t="shared" si="32"/>
        <v>15722.6826148</v>
      </c>
    </row>
    <row r="48" ht="24" customHeight="1" spans="1:9">
      <c r="A48" s="455">
        <v>2.2</v>
      </c>
      <c r="B48" s="435" t="s">
        <v>33</v>
      </c>
      <c r="C48" s="322" t="s">
        <v>4</v>
      </c>
      <c r="D48" s="440">
        <f>D36*0.8</f>
        <v>956529.0148952</v>
      </c>
      <c r="E48" s="440">
        <f>E52</f>
        <v>260407.95177904</v>
      </c>
      <c r="F48" s="440">
        <f>F52</f>
        <v>225856.87737904</v>
      </c>
      <c r="G48" s="440">
        <f>G52</f>
        <v>225856.87737904</v>
      </c>
      <c r="H48" s="440">
        <f>H52</f>
        <v>122203.65417904</v>
      </c>
      <c r="I48" s="440">
        <f>I52</f>
        <v>122203.65417904</v>
      </c>
    </row>
    <row r="49" ht="24" customHeight="1" spans="1:9">
      <c r="A49" s="456"/>
      <c r="B49" s="441"/>
      <c r="C49" s="329" t="s">
        <v>13</v>
      </c>
      <c r="D49" s="443">
        <f>SUM(E49:I49)</f>
        <v>251009.0126288</v>
      </c>
      <c r="E49" s="443">
        <f t="shared" ref="E49:I51" si="33">E53</f>
        <v>62281.89692576</v>
      </c>
      <c r="F49" s="443">
        <f t="shared" si="33"/>
        <v>56241.84972576</v>
      </c>
      <c r="G49" s="443">
        <f t="shared" si="33"/>
        <v>56241.84972576</v>
      </c>
      <c r="H49" s="443">
        <f t="shared" si="33"/>
        <v>38121.70812576</v>
      </c>
      <c r="I49" s="443">
        <f t="shared" si="33"/>
        <v>38121.70812576</v>
      </c>
    </row>
    <row r="50" ht="24" customHeight="1" spans="1:9">
      <c r="A50" s="456"/>
      <c r="B50" s="441"/>
      <c r="C50" s="329" t="s">
        <v>14</v>
      </c>
      <c r="D50" s="443">
        <f t="shared" ref="D50:D51" si="34">SUM(E50:I50)</f>
        <v>189983.7499704</v>
      </c>
      <c r="E50" s="443">
        <f t="shared" si="33"/>
        <v>54802.28439408</v>
      </c>
      <c r="F50" s="443">
        <f t="shared" si="33"/>
        <v>46399.51719408</v>
      </c>
      <c r="G50" s="443">
        <f t="shared" si="33"/>
        <v>46399.51719408</v>
      </c>
      <c r="H50" s="443">
        <f t="shared" si="33"/>
        <v>21191.21559408</v>
      </c>
      <c r="I50" s="443">
        <f t="shared" si="33"/>
        <v>21191.21559408</v>
      </c>
    </row>
    <row r="51" ht="24" customHeight="1" spans="1:9">
      <c r="A51" s="458"/>
      <c r="B51" s="438"/>
      <c r="C51" s="329" t="s">
        <v>15</v>
      </c>
      <c r="D51" s="443">
        <f t="shared" si="34"/>
        <v>515536.252296</v>
      </c>
      <c r="E51" s="443">
        <f t="shared" si="33"/>
        <v>143323.7704592</v>
      </c>
      <c r="F51" s="443">
        <f t="shared" si="33"/>
        <v>123215.5104592</v>
      </c>
      <c r="G51" s="443">
        <f t="shared" si="33"/>
        <v>123215.5104592</v>
      </c>
      <c r="H51" s="443">
        <f t="shared" si="33"/>
        <v>62890.7304592</v>
      </c>
      <c r="I51" s="443">
        <f t="shared" si="33"/>
        <v>62890.7304592</v>
      </c>
    </row>
    <row r="52" ht="24" customHeight="1" spans="1:9">
      <c r="A52" s="637" t="s">
        <v>34</v>
      </c>
      <c r="B52" s="435" t="s">
        <v>32</v>
      </c>
      <c r="C52" s="322" t="s">
        <v>4</v>
      </c>
      <c r="D52" s="440">
        <f>D48</f>
        <v>956529.0148952</v>
      </c>
      <c r="E52" s="440">
        <f>E8*0.8</f>
        <v>260407.95177904</v>
      </c>
      <c r="F52" s="440">
        <f t="shared" ref="F52:I52" si="35">F8*0.8</f>
        <v>225856.87737904</v>
      </c>
      <c r="G52" s="440">
        <f t="shared" si="35"/>
        <v>225856.87737904</v>
      </c>
      <c r="H52" s="440">
        <f t="shared" si="35"/>
        <v>122203.65417904</v>
      </c>
      <c r="I52" s="440">
        <f t="shared" si="35"/>
        <v>122203.65417904</v>
      </c>
    </row>
    <row r="53" ht="24" customHeight="1" spans="1:9">
      <c r="A53" s="450"/>
      <c r="B53" s="441"/>
      <c r="C53" s="329" t="s">
        <v>13</v>
      </c>
      <c r="D53" s="443">
        <f>SUM(E53:I53)</f>
        <v>251009.0126288</v>
      </c>
      <c r="E53" s="443">
        <f>E9*0.8</f>
        <v>62281.89692576</v>
      </c>
      <c r="F53" s="443">
        <f t="shared" ref="F53:I53" si="36">F9*0.8</f>
        <v>56241.84972576</v>
      </c>
      <c r="G53" s="443">
        <f t="shared" si="36"/>
        <v>56241.84972576</v>
      </c>
      <c r="H53" s="443">
        <f t="shared" si="36"/>
        <v>38121.70812576</v>
      </c>
      <c r="I53" s="443">
        <f t="shared" si="36"/>
        <v>38121.70812576</v>
      </c>
    </row>
    <row r="54" ht="24" customHeight="1" spans="1:9">
      <c r="A54" s="450"/>
      <c r="B54" s="441"/>
      <c r="C54" s="329" t="s">
        <v>14</v>
      </c>
      <c r="D54" s="443">
        <f>SUM(E54:I54)</f>
        <v>189983.7499704</v>
      </c>
      <c r="E54" s="443">
        <f t="shared" ref="E54:I54" si="37">E10*0.8</f>
        <v>54802.28439408</v>
      </c>
      <c r="F54" s="443">
        <f t="shared" si="37"/>
        <v>46399.51719408</v>
      </c>
      <c r="G54" s="443">
        <f t="shared" si="37"/>
        <v>46399.51719408</v>
      </c>
      <c r="H54" s="443">
        <f t="shared" si="37"/>
        <v>21191.21559408</v>
      </c>
      <c r="I54" s="443">
        <f t="shared" si="37"/>
        <v>21191.21559408</v>
      </c>
    </row>
    <row r="55" ht="24" customHeight="1" spans="1:9">
      <c r="A55" s="453"/>
      <c r="B55" s="438"/>
      <c r="C55" s="329" t="s">
        <v>15</v>
      </c>
      <c r="D55" s="443">
        <f t="shared" ref="D55:D56" si="38">SUM(E55:I55)</f>
        <v>515536.252296</v>
      </c>
      <c r="E55" s="443">
        <f t="shared" ref="E55:I55" si="39">E11*0.8</f>
        <v>143323.7704592</v>
      </c>
      <c r="F55" s="443">
        <f t="shared" si="39"/>
        <v>123215.5104592</v>
      </c>
      <c r="G55" s="443">
        <f t="shared" si="39"/>
        <v>123215.5104592</v>
      </c>
      <c r="H55" s="443">
        <f t="shared" si="39"/>
        <v>62890.7304592</v>
      </c>
      <c r="I55" s="443">
        <f t="shared" si="39"/>
        <v>62890.7304592</v>
      </c>
    </row>
    <row r="56" s="430" customFormat="1" ht="19.9" customHeight="1" spans="1:9">
      <c r="A56" s="459">
        <v>3</v>
      </c>
      <c r="B56" s="460" t="s">
        <v>35</v>
      </c>
      <c r="C56" s="322" t="s">
        <v>4</v>
      </c>
      <c r="D56" s="461">
        <f t="shared" si="38"/>
        <v>1</v>
      </c>
      <c r="E56" s="461">
        <f>E8/D8</f>
        <v>0.272242606051601</v>
      </c>
      <c r="F56" s="461">
        <f>F8/D8</f>
        <v>0.236121303025801</v>
      </c>
      <c r="G56" s="461">
        <f>G8/D8</f>
        <v>0.236121303025801</v>
      </c>
      <c r="H56" s="461">
        <f>H8/D8</f>
        <v>0.127757393948399</v>
      </c>
      <c r="I56" s="461">
        <f>I8/D8</f>
        <v>0.127757393948399</v>
      </c>
    </row>
    <row r="57" s="430" customFormat="1" ht="19.9" customHeight="1" spans="1:9">
      <c r="A57" s="462"/>
      <c r="B57" s="463"/>
      <c r="C57" s="329" t="s">
        <v>13</v>
      </c>
      <c r="D57" s="464">
        <f t="shared" ref="D57:D59" si="40">SUM(E57:I57)</f>
        <v>1</v>
      </c>
      <c r="E57" s="464">
        <f>E9/D9</f>
        <v>0.248126138075625</v>
      </c>
      <c r="F57" s="464">
        <f t="shared" ref="F57:F59" si="41">F9/D9</f>
        <v>0.224063069037813</v>
      </c>
      <c r="G57" s="464">
        <f t="shared" ref="G57:G59" si="42">G9/D9</f>
        <v>0.224063069037813</v>
      </c>
      <c r="H57" s="464">
        <f t="shared" ref="H57:H59" si="43">H9/D9</f>
        <v>0.151873861924375</v>
      </c>
      <c r="I57" s="464">
        <f t="shared" ref="I57:I59" si="44">I9/D9</f>
        <v>0.151873861924375</v>
      </c>
    </row>
    <row r="58" spans="1:9">
      <c r="A58" s="462"/>
      <c r="B58" s="463"/>
      <c r="C58" s="329" t="s">
        <v>14</v>
      </c>
      <c r="D58" s="464">
        <f t="shared" si="40"/>
        <v>1</v>
      </c>
      <c r="E58" s="464">
        <f t="shared" ref="E58:E59" si="45">E10/D10</f>
        <v>0.288457746531576</v>
      </c>
      <c r="F58" s="464">
        <f t="shared" si="41"/>
        <v>0.244228873265788</v>
      </c>
      <c r="G58" s="464">
        <f t="shared" si="42"/>
        <v>0.244228873265788</v>
      </c>
      <c r="H58" s="464">
        <f t="shared" si="43"/>
        <v>0.111542253468424</v>
      </c>
      <c r="I58" s="464">
        <f t="shared" si="44"/>
        <v>0.111542253468424</v>
      </c>
    </row>
    <row r="59" spans="1:9">
      <c r="A59" s="462"/>
      <c r="B59" s="465"/>
      <c r="C59" s="329" t="s">
        <v>15</v>
      </c>
      <c r="D59" s="464">
        <f t="shared" si="40"/>
        <v>1</v>
      </c>
      <c r="E59" s="464">
        <f t="shared" si="45"/>
        <v>0.278009101825315</v>
      </c>
      <c r="F59" s="464">
        <f t="shared" si="41"/>
        <v>0.239004550912657</v>
      </c>
      <c r="G59" s="464">
        <f t="shared" si="42"/>
        <v>0.239004550912657</v>
      </c>
      <c r="H59" s="464">
        <f t="shared" si="43"/>
        <v>0.121990898174685</v>
      </c>
      <c r="I59" s="464">
        <f t="shared" si="44"/>
        <v>0.121990898174685</v>
      </c>
    </row>
    <row r="60" ht="63" customHeight="1" spans="2:7">
      <c r="B60"/>
      <c r="C60"/>
      <c r="D60"/>
      <c r="G60" s="466"/>
    </row>
    <row r="61" ht="44.25" customHeight="1" spans="2:4">
      <c r="B61"/>
      <c r="C61"/>
      <c r="D61"/>
    </row>
  </sheetData>
  <mergeCells count="33">
    <mergeCell ref="A1:I1"/>
    <mergeCell ref="E2:I2"/>
    <mergeCell ref="A2:A3"/>
    <mergeCell ref="A4:A7"/>
    <mergeCell ref="A8:A11"/>
    <mergeCell ref="A12:A19"/>
    <mergeCell ref="A20:A23"/>
    <mergeCell ref="A24:A27"/>
    <mergeCell ref="A28:A31"/>
    <mergeCell ref="A32:A35"/>
    <mergeCell ref="A36:A39"/>
    <mergeCell ref="A40:A43"/>
    <mergeCell ref="A44:A47"/>
    <mergeCell ref="A48:A51"/>
    <mergeCell ref="A52:A55"/>
    <mergeCell ref="A56:A59"/>
    <mergeCell ref="B2:B3"/>
    <mergeCell ref="B4:B7"/>
    <mergeCell ref="B8:B11"/>
    <mergeCell ref="B12:B15"/>
    <mergeCell ref="B16:B19"/>
    <mergeCell ref="B20:B23"/>
    <mergeCell ref="B24:B27"/>
    <mergeCell ref="B28:B31"/>
    <mergeCell ref="B32:B35"/>
    <mergeCell ref="B36:B39"/>
    <mergeCell ref="B40:B43"/>
    <mergeCell ref="B44:B47"/>
    <mergeCell ref="B48:B51"/>
    <mergeCell ref="B52:B55"/>
    <mergeCell ref="B56:B59"/>
    <mergeCell ref="C2:C3"/>
    <mergeCell ref="D2:D3"/>
  </mergeCells>
  <pageMargins left="1.0625" right="0.590277777777778" top="0.747916666666667" bottom="0.826388888888889" header="0.511805555555556" footer="0.511805555555556"/>
  <pageSetup paperSize="9" fitToHeight="100" orientation="landscape"/>
  <headerFooter alignWithMargins="0"/>
  <ignoredErrors>
    <ignoredError sqref="A8 A4" numberStoredAsText="1"/>
    <ignoredError sqref="F48:I48 D36 D44" formula="1"/>
  </ignoredError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70C0"/>
    <pageSetUpPr fitToPage="1"/>
  </sheetPr>
  <dimension ref="A1:X60"/>
  <sheetViews>
    <sheetView workbookViewId="0">
      <selection activeCell="D17" sqref="D17"/>
    </sheetView>
  </sheetViews>
  <sheetFormatPr defaultColWidth="9" defaultRowHeight="15.75"/>
  <cols>
    <col min="1" max="1" width="5.75" style="397" customWidth="1"/>
    <col min="2" max="2" width="19.75" style="397" customWidth="1"/>
    <col min="3" max="3" width="7.875" style="397" customWidth="1"/>
    <col min="4" max="4" width="9.875" style="397" customWidth="1"/>
    <col min="5" max="6" width="9.25" style="397" customWidth="1"/>
    <col min="7" max="7" width="12.25" style="397" customWidth="1"/>
    <col min="8" max="8" width="10.5" style="397" customWidth="1"/>
    <col min="9" max="9" width="10.125" style="397" customWidth="1"/>
    <col min="10" max="10" width="10.5" style="397" customWidth="1"/>
    <col min="11" max="11" width="10.375" style="397" customWidth="1"/>
    <col min="12" max="12" width="10.5" style="397" customWidth="1"/>
    <col min="13" max="13" width="10.875" style="397" customWidth="1"/>
    <col min="14" max="14" width="13.75" style="397" customWidth="1"/>
    <col min="15" max="15" width="16.125" style="397" customWidth="1"/>
    <col min="16" max="16" width="6.375" style="397" customWidth="1"/>
    <col min="17" max="17" width="15.625" style="397" customWidth="1"/>
    <col min="18" max="18" width="9" style="397"/>
    <col min="19" max="19" width="15" style="397" customWidth="1"/>
    <col min="20" max="20" width="11" style="397" customWidth="1"/>
    <col min="21" max="21" width="12.875" style="397" customWidth="1"/>
    <col min="22" max="22" width="9" style="397"/>
    <col min="23" max="23" width="12.375" style="397" customWidth="1"/>
    <col min="24" max="16384" width="9" style="397"/>
  </cols>
  <sheetData>
    <row r="1" s="393" customFormat="1" ht="25.5" customHeight="1" spans="1:14">
      <c r="A1" s="398" t="s">
        <v>196</v>
      </c>
      <c r="B1" s="398"/>
      <c r="C1" s="398"/>
      <c r="D1" s="398"/>
      <c r="E1" s="398"/>
      <c r="F1" s="398"/>
      <c r="G1" s="398"/>
      <c r="H1" s="398"/>
      <c r="I1" s="398"/>
      <c r="J1" s="398"/>
      <c r="K1" s="398"/>
      <c r="L1" s="398"/>
      <c r="M1" s="398"/>
      <c r="N1" s="398"/>
    </row>
    <row r="2" s="393" customFormat="1" ht="28.5" customHeight="1" spans="1:24">
      <c r="A2" s="65" t="s">
        <v>1</v>
      </c>
      <c r="B2" s="65" t="s">
        <v>197</v>
      </c>
      <c r="C2" s="61" t="s">
        <v>198</v>
      </c>
      <c r="D2" s="61" t="s">
        <v>199</v>
      </c>
      <c r="E2" s="61" t="s">
        <v>200</v>
      </c>
      <c r="F2" s="61" t="s">
        <v>201</v>
      </c>
      <c r="G2" s="66" t="s">
        <v>202</v>
      </c>
      <c r="H2" s="61" t="s">
        <v>203</v>
      </c>
      <c r="I2" s="61" t="s">
        <v>204</v>
      </c>
      <c r="J2" s="61" t="s">
        <v>205</v>
      </c>
      <c r="K2" s="61" t="s">
        <v>206</v>
      </c>
      <c r="L2" s="61" t="s">
        <v>207</v>
      </c>
      <c r="M2" s="61" t="s">
        <v>208</v>
      </c>
      <c r="N2" s="66" t="s">
        <v>74</v>
      </c>
      <c r="P2"/>
      <c r="Q2"/>
      <c r="R2"/>
      <c r="S2"/>
      <c r="T2"/>
      <c r="U2"/>
      <c r="V2"/>
      <c r="W2"/>
      <c r="X2"/>
    </row>
    <row r="3" s="394" customFormat="1" ht="23.25" customHeight="1" spans="1:24">
      <c r="A3" s="65" t="s">
        <v>81</v>
      </c>
      <c r="B3" s="66" t="s">
        <v>209</v>
      </c>
      <c r="C3" s="67" t="s">
        <v>210</v>
      </c>
      <c r="D3" s="73">
        <v>8</v>
      </c>
      <c r="E3" s="399">
        <f>H3+J3+L3</f>
        <v>2287499</v>
      </c>
      <c r="F3" s="400">
        <f>E3*D3/10000</f>
        <v>1829.9992</v>
      </c>
      <c r="G3" s="66" t="s">
        <v>211</v>
      </c>
      <c r="H3" s="401">
        <f>E49</f>
        <v>504633</v>
      </c>
      <c r="I3" s="420">
        <f>H3*D3/10000</f>
        <v>403.7064</v>
      </c>
      <c r="J3" s="401">
        <f>F49</f>
        <v>508847</v>
      </c>
      <c r="K3" s="420">
        <f>J3*D3/10000</f>
        <v>407.0776</v>
      </c>
      <c r="L3" s="421">
        <f>G49</f>
        <v>1274019</v>
      </c>
      <c r="M3" s="420">
        <f>L3*D3/10000</f>
        <v>1019.2152</v>
      </c>
      <c r="N3" s="422" t="s">
        <v>212</v>
      </c>
      <c r="P3"/>
      <c r="Q3"/>
      <c r="R3"/>
      <c r="S3"/>
      <c r="T3"/>
      <c r="U3"/>
      <c r="V3"/>
      <c r="W3"/>
      <c r="X3"/>
    </row>
    <row r="4" s="394" customFormat="1" ht="16.5" customHeight="1" spans="1:24">
      <c r="A4" s="65" t="s">
        <v>83</v>
      </c>
      <c r="B4" s="66" t="s">
        <v>213</v>
      </c>
      <c r="C4" s="67" t="s">
        <v>210</v>
      </c>
      <c r="D4" s="73">
        <v>7.13</v>
      </c>
      <c r="E4" s="399">
        <f t="shared" ref="E4:E6" si="0">H4+J4+L4</f>
        <v>1158994.5</v>
      </c>
      <c r="F4" s="400">
        <f>E4*D4/10000</f>
        <v>826.3630785</v>
      </c>
      <c r="G4" s="66" t="s">
        <v>211</v>
      </c>
      <c r="H4" s="401">
        <f>E50</f>
        <v>248459</v>
      </c>
      <c r="I4" s="420">
        <f>H4*D4/10000</f>
        <v>177.151267</v>
      </c>
      <c r="J4" s="401">
        <f t="shared" ref="J4:J14" si="1">F50</f>
        <v>246218</v>
      </c>
      <c r="K4" s="420">
        <f>J4*D4/10000</f>
        <v>175.553434</v>
      </c>
      <c r="L4" s="421">
        <f t="shared" ref="L4:L14" si="2">G50</f>
        <v>664317.5</v>
      </c>
      <c r="M4" s="420">
        <f t="shared" ref="M4:M6" si="3">L4*D4/10000</f>
        <v>473.6583775</v>
      </c>
      <c r="N4" s="423" t="s">
        <v>214</v>
      </c>
      <c r="P4"/>
      <c r="Q4"/>
      <c r="R4"/>
      <c r="S4"/>
      <c r="T4"/>
      <c r="U4"/>
      <c r="V4"/>
      <c r="W4"/>
      <c r="X4"/>
    </row>
    <row r="5" s="394" customFormat="1" ht="16.5" customHeight="1" spans="1:24">
      <c r="A5" s="70" t="s">
        <v>85</v>
      </c>
      <c r="B5" s="66" t="s">
        <v>215</v>
      </c>
      <c r="C5" s="71" t="s">
        <v>216</v>
      </c>
      <c r="D5" s="73">
        <v>78.59</v>
      </c>
      <c r="E5" s="399">
        <f t="shared" si="0"/>
        <v>4616</v>
      </c>
      <c r="F5" s="400">
        <f>E5*D5/10000</f>
        <v>36.277144</v>
      </c>
      <c r="G5" s="73"/>
      <c r="H5" s="401">
        <f>E51</f>
        <v>681</v>
      </c>
      <c r="I5" s="420">
        <f>H5*D5/10000</f>
        <v>5.351979</v>
      </c>
      <c r="J5" s="401">
        <f t="shared" si="1"/>
        <v>1072</v>
      </c>
      <c r="K5" s="420">
        <f>J5*D5/10000</f>
        <v>8.424848</v>
      </c>
      <c r="L5" s="421">
        <f t="shared" si="2"/>
        <v>2863</v>
      </c>
      <c r="M5" s="420">
        <f t="shared" si="3"/>
        <v>22.500317</v>
      </c>
      <c r="N5" s="423" t="s">
        <v>217</v>
      </c>
      <c r="P5"/>
      <c r="Q5"/>
      <c r="R5"/>
      <c r="S5"/>
      <c r="T5"/>
      <c r="U5"/>
      <c r="V5"/>
      <c r="W5"/>
      <c r="X5"/>
    </row>
    <row r="6" s="394" customFormat="1" ht="16.5" customHeight="1" spans="1:24">
      <c r="A6" s="70" t="s">
        <v>87</v>
      </c>
      <c r="B6" s="66" t="s">
        <v>218</v>
      </c>
      <c r="C6" s="71" t="s">
        <v>219</v>
      </c>
      <c r="D6" s="73">
        <v>51</v>
      </c>
      <c r="E6" s="399">
        <f t="shared" si="0"/>
        <v>3454</v>
      </c>
      <c r="F6" s="400">
        <f>E6*D6/10000</f>
        <v>17.6154</v>
      </c>
      <c r="G6" s="73"/>
      <c r="H6" s="401">
        <f>E52</f>
        <v>1654</v>
      </c>
      <c r="I6" s="420">
        <f>H6*D6/10000</f>
        <v>8.4354</v>
      </c>
      <c r="J6" s="401">
        <f t="shared" si="1"/>
        <v>1800</v>
      </c>
      <c r="K6" s="420">
        <f>J6*D6/10000</f>
        <v>9.18</v>
      </c>
      <c r="L6" s="421">
        <f t="shared" si="2"/>
        <v>0</v>
      </c>
      <c r="M6" s="420">
        <f t="shared" si="3"/>
        <v>0</v>
      </c>
      <c r="N6" s="423"/>
      <c r="P6"/>
      <c r="Q6"/>
      <c r="R6"/>
      <c r="S6"/>
      <c r="T6"/>
      <c r="U6"/>
      <c r="V6"/>
      <c r="W6"/>
      <c r="X6"/>
    </row>
    <row r="7" s="393" customFormat="1" ht="16.5" customHeight="1" spans="1:24">
      <c r="A7" s="70"/>
      <c r="B7" s="66" t="s">
        <v>220</v>
      </c>
      <c r="C7" s="67"/>
      <c r="D7" s="73"/>
      <c r="E7" s="399"/>
      <c r="F7" s="402">
        <f>SUM(F3:F6)</f>
        <v>2710.2548225</v>
      </c>
      <c r="G7" s="66"/>
      <c r="H7" s="66"/>
      <c r="I7" s="406">
        <f>SUM(I3:I6)</f>
        <v>594.645046</v>
      </c>
      <c r="J7" s="401">
        <f t="shared" si="1"/>
        <v>0</v>
      </c>
      <c r="K7" s="406">
        <f>SUM(K3:K6)</f>
        <v>600.235882</v>
      </c>
      <c r="L7" s="421">
        <f t="shared" si="2"/>
        <v>0</v>
      </c>
      <c r="M7" s="406">
        <f>SUM(M3:M6)</f>
        <v>1515.3738945</v>
      </c>
      <c r="N7" s="73"/>
      <c r="P7"/>
      <c r="Q7"/>
      <c r="R7"/>
      <c r="S7"/>
      <c r="T7"/>
      <c r="U7"/>
      <c r="V7"/>
      <c r="W7"/>
      <c r="X7"/>
    </row>
    <row r="8" s="393" customFormat="1" ht="21.75" customHeight="1" spans="1:14">
      <c r="A8" s="70" t="s">
        <v>89</v>
      </c>
      <c r="B8" s="61" t="s">
        <v>221</v>
      </c>
      <c r="C8" s="67"/>
      <c r="D8" s="73"/>
      <c r="E8" s="399"/>
      <c r="F8" s="402">
        <f>SUM(F9:F14)</f>
        <v>3734.54992952</v>
      </c>
      <c r="G8" s="66"/>
      <c r="H8" s="66"/>
      <c r="I8" s="406">
        <f>SUM(I9:I14)</f>
        <v>1020.153488</v>
      </c>
      <c r="J8" s="401">
        <f t="shared" si="1"/>
        <v>0</v>
      </c>
      <c r="K8" s="406">
        <f>SUM(K9:K14)</f>
        <v>527.41874252</v>
      </c>
      <c r="L8" s="421">
        <f t="shared" si="2"/>
        <v>0</v>
      </c>
      <c r="M8" s="406">
        <f>SUM(M9:M14)</f>
        <v>2186.977699</v>
      </c>
      <c r="N8" s="73"/>
    </row>
    <row r="9" s="393" customFormat="1" ht="21.75" customHeight="1" spans="1:14">
      <c r="A9" s="70">
        <v>1</v>
      </c>
      <c r="B9" s="71" t="s">
        <v>222</v>
      </c>
      <c r="C9" s="67" t="s">
        <v>210</v>
      </c>
      <c r="D9" s="73">
        <v>11.76</v>
      </c>
      <c r="E9" s="399">
        <f>H9+J9+L9</f>
        <v>1173730.27</v>
      </c>
      <c r="F9" s="400">
        <f t="shared" ref="F9:F14" si="4">E9*D9/10000</f>
        <v>1380.30679752</v>
      </c>
      <c r="G9" s="61" t="s">
        <v>223</v>
      </c>
      <c r="H9" s="401">
        <f>E55</f>
        <v>279729</v>
      </c>
      <c r="I9" s="420">
        <f>H9*D9/10000</f>
        <v>328.961304</v>
      </c>
      <c r="J9" s="401">
        <f t="shared" si="1"/>
        <v>142384.27</v>
      </c>
      <c r="K9" s="420">
        <f t="shared" ref="K9:K14" si="5">J9*D9/10000</f>
        <v>167.44390152</v>
      </c>
      <c r="L9" s="421">
        <f t="shared" si="2"/>
        <v>751617</v>
      </c>
      <c r="M9" s="420">
        <f>L9*D9/10000</f>
        <v>883.901592</v>
      </c>
      <c r="N9" s="71" t="s">
        <v>224</v>
      </c>
    </row>
    <row r="10" s="393" customFormat="1" ht="21" customHeight="1" spans="1:14">
      <c r="A10" s="72">
        <v>2</v>
      </c>
      <c r="B10" s="71" t="s">
        <v>225</v>
      </c>
      <c r="C10" s="67" t="s">
        <v>210</v>
      </c>
      <c r="D10" s="73">
        <v>16.11</v>
      </c>
      <c r="E10" s="399">
        <f t="shared" ref="E10:E14" si="6">H10+J10+L10</f>
        <v>618004</v>
      </c>
      <c r="F10" s="400">
        <f t="shared" si="4"/>
        <v>995.604444</v>
      </c>
      <c r="G10" s="66" t="s">
        <v>226</v>
      </c>
      <c r="H10" s="401">
        <f>E56</f>
        <v>90332</v>
      </c>
      <c r="I10" s="420">
        <f t="shared" ref="I10:I14" si="7">H10*D10/10000</f>
        <v>145.524852</v>
      </c>
      <c r="J10" s="401">
        <f t="shared" si="1"/>
        <v>89491</v>
      </c>
      <c r="K10" s="420">
        <f t="shared" si="5"/>
        <v>144.170001</v>
      </c>
      <c r="L10" s="421">
        <f t="shared" si="2"/>
        <v>438181</v>
      </c>
      <c r="M10" s="420">
        <f t="shared" ref="M10:M14" si="8">L10*D10/10000</f>
        <v>705.909591</v>
      </c>
      <c r="N10" s="422" t="s">
        <v>227</v>
      </c>
    </row>
    <row r="11" s="393" customFormat="1" ht="21" customHeight="1" spans="1:14">
      <c r="A11" s="70">
        <v>3</v>
      </c>
      <c r="B11" s="71" t="s">
        <v>228</v>
      </c>
      <c r="C11" s="67" t="s">
        <v>210</v>
      </c>
      <c r="D11" s="73">
        <v>25.35</v>
      </c>
      <c r="E11" s="399">
        <f t="shared" si="6"/>
        <v>108900</v>
      </c>
      <c r="F11" s="400">
        <f t="shared" si="4"/>
        <v>276.0615</v>
      </c>
      <c r="G11" s="66" t="s">
        <v>226</v>
      </c>
      <c r="H11" s="401">
        <f>E57</f>
        <v>108900</v>
      </c>
      <c r="I11" s="420">
        <f t="shared" si="7"/>
        <v>276.0615</v>
      </c>
      <c r="J11" s="401">
        <f t="shared" si="1"/>
        <v>0</v>
      </c>
      <c r="K11" s="420"/>
      <c r="L11" s="421">
        <f t="shared" si="2"/>
        <v>0</v>
      </c>
      <c r="M11" s="420">
        <f t="shared" si="8"/>
        <v>0</v>
      </c>
      <c r="N11" s="422" t="s">
        <v>227</v>
      </c>
    </row>
    <row r="12" s="393" customFormat="1" ht="16.5" customHeight="1" spans="1:14">
      <c r="A12" s="70">
        <v>4</v>
      </c>
      <c r="B12" s="71" t="s">
        <v>229</v>
      </c>
      <c r="C12" s="67" t="s">
        <v>230</v>
      </c>
      <c r="D12" s="73">
        <v>8.6</v>
      </c>
      <c r="E12" s="399">
        <f t="shared" si="6"/>
        <v>244487</v>
      </c>
      <c r="F12" s="400">
        <f t="shared" si="4"/>
        <v>210.25882</v>
      </c>
      <c r="G12" s="66"/>
      <c r="H12" s="401">
        <f>E58</f>
        <v>12217</v>
      </c>
      <c r="I12" s="420">
        <f t="shared" si="7"/>
        <v>10.50662</v>
      </c>
      <c r="J12" s="401">
        <f t="shared" si="1"/>
        <v>9070</v>
      </c>
      <c r="K12" s="420">
        <f t="shared" si="5"/>
        <v>7.8002</v>
      </c>
      <c r="L12" s="421">
        <f t="shared" si="2"/>
        <v>223200</v>
      </c>
      <c r="M12" s="420">
        <f t="shared" si="8"/>
        <v>191.952</v>
      </c>
      <c r="N12" s="424"/>
    </row>
    <row r="13" s="393" customFormat="1" ht="16.5" customHeight="1" spans="1:14">
      <c r="A13" s="70">
        <v>5</v>
      </c>
      <c r="B13" s="73" t="s">
        <v>231</v>
      </c>
      <c r="C13" s="73" t="s">
        <v>230</v>
      </c>
      <c r="D13" s="73">
        <v>132.77</v>
      </c>
      <c r="E13" s="399">
        <f t="shared" si="6"/>
        <v>11978</v>
      </c>
      <c r="F13" s="400">
        <f t="shared" si="4"/>
        <v>159.031906</v>
      </c>
      <c r="G13" s="66"/>
      <c r="H13" s="401">
        <f t="shared" ref="H13:H14" si="9">E59</f>
        <v>4378</v>
      </c>
      <c r="I13" s="420">
        <f t="shared" si="7"/>
        <v>58.126706</v>
      </c>
      <c r="J13" s="401">
        <f t="shared" si="1"/>
        <v>2000</v>
      </c>
      <c r="K13" s="420">
        <f t="shared" si="5"/>
        <v>26.554</v>
      </c>
      <c r="L13" s="421">
        <f t="shared" si="2"/>
        <v>5600</v>
      </c>
      <c r="M13" s="420">
        <f t="shared" si="8"/>
        <v>74.3512</v>
      </c>
      <c r="N13" s="424"/>
    </row>
    <row r="14" s="393" customFormat="1" ht="16.5" customHeight="1" spans="1:14">
      <c r="A14" s="70">
        <v>6</v>
      </c>
      <c r="B14" s="71" t="s">
        <v>232</v>
      </c>
      <c r="C14" s="73" t="s">
        <v>230</v>
      </c>
      <c r="D14" s="73">
        <v>31.22</v>
      </c>
      <c r="E14" s="399">
        <f t="shared" si="6"/>
        <v>228471</v>
      </c>
      <c r="F14" s="400">
        <f t="shared" si="4"/>
        <v>713.286462</v>
      </c>
      <c r="G14" s="66"/>
      <c r="H14" s="401">
        <f t="shared" si="9"/>
        <v>64373</v>
      </c>
      <c r="I14" s="420">
        <f t="shared" si="7"/>
        <v>200.972506</v>
      </c>
      <c r="J14" s="401">
        <f t="shared" si="1"/>
        <v>58120</v>
      </c>
      <c r="K14" s="420">
        <f t="shared" si="5"/>
        <v>181.45064</v>
      </c>
      <c r="L14" s="421">
        <f t="shared" si="2"/>
        <v>105978</v>
      </c>
      <c r="M14" s="420">
        <f t="shared" si="8"/>
        <v>330.863316</v>
      </c>
      <c r="N14" s="424"/>
    </row>
    <row r="15" s="393" customFormat="1" ht="16.5" customHeight="1" spans="1:14">
      <c r="A15" s="72"/>
      <c r="B15" s="71" t="s">
        <v>4</v>
      </c>
      <c r="C15" s="73"/>
      <c r="D15" s="73"/>
      <c r="E15" s="73"/>
      <c r="F15" s="402">
        <f>F7+F8</f>
        <v>6444.80475202</v>
      </c>
      <c r="G15" s="73"/>
      <c r="H15" s="73"/>
      <c r="I15" s="402">
        <f>I7+I8</f>
        <v>1614.798534</v>
      </c>
      <c r="J15" s="73"/>
      <c r="K15" s="402">
        <f>K8+K7</f>
        <v>1127.65462452</v>
      </c>
      <c r="L15" s="425"/>
      <c r="M15" s="402">
        <f>M8+M7</f>
        <v>3702.3515935</v>
      </c>
      <c r="N15" s="73"/>
    </row>
    <row r="16" s="393" customFormat="1"/>
    <row r="17" s="394" customFormat="1"/>
    <row r="18" s="393" customFormat="1"/>
    <row r="19" s="393" customFormat="1" spans="2:14">
      <c r="B19" s="403" t="s">
        <v>233</v>
      </c>
      <c r="C19" s="403"/>
      <c r="D19" s="403"/>
      <c r="E19" s="403"/>
      <c r="F19" s="403"/>
      <c r="G19" s="403"/>
      <c r="H19" s="403"/>
      <c r="I19" s="403"/>
      <c r="J19" s="403"/>
      <c r="K19" s="403"/>
      <c r="L19" s="403"/>
      <c r="M19" s="403"/>
      <c r="N19" s="403"/>
    </row>
    <row r="20" s="393" customFormat="1" spans="2:14">
      <c r="B20" s="66" t="s">
        <v>234</v>
      </c>
      <c r="C20" s="61" t="s">
        <v>9</v>
      </c>
      <c r="D20" s="61" t="s">
        <v>10</v>
      </c>
      <c r="E20" s="61" t="s">
        <v>235</v>
      </c>
      <c r="F20" s="61" t="s">
        <v>236</v>
      </c>
      <c r="G20" s="61" t="s">
        <v>237</v>
      </c>
      <c r="H20" s="61" t="s">
        <v>238</v>
      </c>
      <c r="I20" s="61" t="s">
        <v>239</v>
      </c>
      <c r="J20" s="61" t="s">
        <v>240</v>
      </c>
      <c r="K20" s="61" t="s">
        <v>241</v>
      </c>
      <c r="L20" s="61" t="s">
        <v>242</v>
      </c>
      <c r="M20" s="61" t="s">
        <v>243</v>
      </c>
      <c r="N20" s="61" t="s">
        <v>244</v>
      </c>
    </row>
    <row r="21" s="395" customFormat="1" spans="2:14">
      <c r="B21" s="404" t="s">
        <v>245</v>
      </c>
      <c r="C21" s="405">
        <v>0</v>
      </c>
      <c r="D21" s="405">
        <v>0</v>
      </c>
      <c r="E21" s="405">
        <v>1</v>
      </c>
      <c r="F21" s="405">
        <v>1</v>
      </c>
      <c r="G21" s="405">
        <v>1</v>
      </c>
      <c r="H21" s="405">
        <f t="shared" ref="H21:J21" si="10">ROUND(1.03^2,2)</f>
        <v>1.06</v>
      </c>
      <c r="I21" s="405">
        <f t="shared" si="10"/>
        <v>1.06</v>
      </c>
      <c r="J21" s="405">
        <f t="shared" si="10"/>
        <v>1.06</v>
      </c>
      <c r="K21" s="405">
        <f t="shared" ref="K21:M21" si="11">ROUND(1.03^3,2)</f>
        <v>1.09</v>
      </c>
      <c r="L21" s="405">
        <f t="shared" si="11"/>
        <v>1.09</v>
      </c>
      <c r="M21" s="405">
        <f t="shared" si="11"/>
        <v>1.09</v>
      </c>
      <c r="N21" s="405">
        <f t="shared" ref="N21" si="12">ROUND(1.03^4,2)</f>
        <v>1.13</v>
      </c>
    </row>
    <row r="22" s="393" customFormat="1" spans="2:14">
      <c r="B22" s="66" t="s">
        <v>246</v>
      </c>
      <c r="C22" s="406">
        <f>SUM(C23:C25)</f>
        <v>0</v>
      </c>
      <c r="D22" s="406">
        <f t="shared" ref="D22:E22" si="13">SUM(D23:D25)</f>
        <v>0</v>
      </c>
      <c r="E22" s="407">
        <f t="shared" si="13"/>
        <v>1847.6146</v>
      </c>
      <c r="F22" s="407">
        <f t="shared" ref="F22:N22" si="14">SUM(F23:F25)</f>
        <v>2673.9776785</v>
      </c>
      <c r="G22" s="407">
        <f t="shared" si="14"/>
        <v>2710.2548225</v>
      </c>
      <c r="H22" s="407">
        <f t="shared" si="14"/>
        <v>2872.87011185</v>
      </c>
      <c r="I22" s="407">
        <f t="shared" si="14"/>
        <v>2872.87011185</v>
      </c>
      <c r="J22" s="407">
        <f t="shared" si="14"/>
        <v>2872.87011185</v>
      </c>
      <c r="K22" s="407">
        <f t="shared" si="14"/>
        <v>2954.177756525</v>
      </c>
      <c r="L22" s="407">
        <f t="shared" si="14"/>
        <v>2954.177756525</v>
      </c>
      <c r="M22" s="407">
        <f t="shared" si="14"/>
        <v>2954.177756525</v>
      </c>
      <c r="N22" s="407">
        <f t="shared" si="14"/>
        <v>3062.587949425</v>
      </c>
    </row>
    <row r="23" s="393" customFormat="1" spans="2:14">
      <c r="B23" s="66" t="s">
        <v>247</v>
      </c>
      <c r="C23" s="73"/>
      <c r="D23" s="73"/>
      <c r="E23" s="408">
        <f>(I7-I5-I4)*E21</f>
        <v>412.1418</v>
      </c>
      <c r="F23" s="408">
        <f>(I7-I5)*F21</f>
        <v>589.293067</v>
      </c>
      <c r="G23" s="408">
        <f>$I$7*G21</f>
        <v>594.645046</v>
      </c>
      <c r="H23" s="408">
        <f t="shared" ref="H23:N23" si="15">$I$7*H21</f>
        <v>630.32374876</v>
      </c>
      <c r="I23" s="408">
        <f t="shared" si="15"/>
        <v>630.32374876</v>
      </c>
      <c r="J23" s="408">
        <f t="shared" si="15"/>
        <v>630.32374876</v>
      </c>
      <c r="K23" s="408">
        <f t="shared" si="15"/>
        <v>648.16310014</v>
      </c>
      <c r="L23" s="408">
        <f t="shared" si="15"/>
        <v>648.16310014</v>
      </c>
      <c r="M23" s="408">
        <f t="shared" si="15"/>
        <v>648.16310014</v>
      </c>
      <c r="N23" s="408">
        <f t="shared" si="15"/>
        <v>671.94890198</v>
      </c>
    </row>
    <row r="24" spans="2:14">
      <c r="B24" s="66" t="s">
        <v>248</v>
      </c>
      <c r="C24" s="400"/>
      <c r="D24" s="400"/>
      <c r="E24" s="408">
        <f>(K7-K5-K4)*E21</f>
        <v>416.2576</v>
      </c>
      <c r="F24" s="408">
        <f>(K7-K5)*F21</f>
        <v>591.811034</v>
      </c>
      <c r="G24" s="408">
        <f>$K$7*G21</f>
        <v>600.235882</v>
      </c>
      <c r="H24" s="408">
        <f t="shared" ref="H24:N24" si="16">$K$7*H21</f>
        <v>636.25003492</v>
      </c>
      <c r="I24" s="408">
        <f t="shared" si="16"/>
        <v>636.25003492</v>
      </c>
      <c r="J24" s="408">
        <f t="shared" si="16"/>
        <v>636.25003492</v>
      </c>
      <c r="K24" s="408">
        <f t="shared" si="16"/>
        <v>654.25711138</v>
      </c>
      <c r="L24" s="408">
        <f t="shared" si="16"/>
        <v>654.25711138</v>
      </c>
      <c r="M24" s="408">
        <f t="shared" si="16"/>
        <v>654.25711138</v>
      </c>
      <c r="N24" s="408">
        <f t="shared" si="16"/>
        <v>678.26654666</v>
      </c>
    </row>
    <row r="25" spans="2:14">
      <c r="B25" s="66" t="s">
        <v>249</v>
      </c>
      <c r="C25" s="71"/>
      <c r="D25" s="71"/>
      <c r="E25" s="408">
        <f>(M7-M5-M4)*E21</f>
        <v>1019.2152</v>
      </c>
      <c r="F25" s="408">
        <f>(M7-M5)*F21</f>
        <v>1492.8735775</v>
      </c>
      <c r="G25" s="408">
        <f>$M$7*G21</f>
        <v>1515.3738945</v>
      </c>
      <c r="H25" s="408">
        <f t="shared" ref="H25:N25" si="17">$M$7*H21</f>
        <v>1606.29632817</v>
      </c>
      <c r="I25" s="408">
        <f t="shared" si="17"/>
        <v>1606.29632817</v>
      </c>
      <c r="J25" s="408">
        <f t="shared" si="17"/>
        <v>1606.29632817</v>
      </c>
      <c r="K25" s="408">
        <f t="shared" si="17"/>
        <v>1651.757545005</v>
      </c>
      <c r="L25" s="408">
        <f t="shared" si="17"/>
        <v>1651.757545005</v>
      </c>
      <c r="M25" s="408">
        <f t="shared" si="17"/>
        <v>1651.757545005</v>
      </c>
      <c r="N25" s="408">
        <f t="shared" si="17"/>
        <v>1712.372500785</v>
      </c>
    </row>
    <row r="26" s="396" customFormat="1" spans="2:14">
      <c r="B26" s="66" t="s">
        <v>250</v>
      </c>
      <c r="C26" s="406">
        <f>SUM(C27:C29)</f>
        <v>0</v>
      </c>
      <c r="D26" s="406">
        <f t="shared" ref="D26:N26" si="18">SUM(D27:D29)</f>
        <v>0</v>
      </c>
      <c r="E26" s="409">
        <f t="shared" si="18"/>
        <v>746.909985904</v>
      </c>
      <c r="F26" s="409">
        <f t="shared" si="18"/>
        <v>746.909985904</v>
      </c>
      <c r="G26" s="409">
        <f t="shared" si="18"/>
        <v>2240.729957712</v>
      </c>
      <c r="H26" s="409">
        <f t="shared" si="18"/>
        <v>2728.18960120784</v>
      </c>
      <c r="I26" s="409">
        <f t="shared" si="18"/>
        <v>3117.93097280896</v>
      </c>
      <c r="J26" s="409">
        <f t="shared" si="18"/>
        <v>3562.76063276208</v>
      </c>
      <c r="K26" s="409">
        <f t="shared" si="18"/>
        <v>4040.0548185368</v>
      </c>
      <c r="L26" s="409">
        <f t="shared" si="18"/>
        <v>4040.0548185368</v>
      </c>
      <c r="M26" s="409">
        <f t="shared" si="18"/>
        <v>4070.6594231768</v>
      </c>
      <c r="N26" s="409">
        <f t="shared" si="18"/>
        <v>4179.2352808376</v>
      </c>
    </row>
    <row r="27" spans="2:14">
      <c r="B27" s="66" t="s">
        <v>247</v>
      </c>
      <c r="C27" s="400"/>
      <c r="D27" s="400"/>
      <c r="E27" s="408">
        <f>$I$8*20%*E21</f>
        <v>204.0306976</v>
      </c>
      <c r="F27" s="408">
        <f>$I$8*20%*E21</f>
        <v>204.0306976</v>
      </c>
      <c r="G27" s="408">
        <f>$I$8*60%*E21</f>
        <v>612.0920928</v>
      </c>
      <c r="H27" s="408">
        <f>$I$8*70%*F21</f>
        <v>714.1074416</v>
      </c>
      <c r="I27" s="408">
        <f>$I$8*80%*G21</f>
        <v>816.1227904</v>
      </c>
      <c r="J27" s="408">
        <f>$I$8*90%*H21</f>
        <v>973.226427552</v>
      </c>
      <c r="K27" s="408">
        <f>$I$8*100%*I21</f>
        <v>1081.36269728</v>
      </c>
      <c r="L27" s="408">
        <f>$I$8*100%*J21</f>
        <v>1081.36269728</v>
      </c>
      <c r="M27" s="408">
        <f>$I$8*100%*K21</f>
        <v>1111.96730192</v>
      </c>
      <c r="N27" s="408">
        <f>$I$8*100%*L21</f>
        <v>1111.96730192</v>
      </c>
    </row>
    <row r="28" spans="2:14">
      <c r="B28" s="66" t="s">
        <v>248</v>
      </c>
      <c r="C28" s="400"/>
      <c r="D28" s="400"/>
      <c r="E28" s="408">
        <f>$K$8*20%*E21</f>
        <v>105.483748504</v>
      </c>
      <c r="F28" s="408">
        <f>$K$8*20%*F21</f>
        <v>105.483748504</v>
      </c>
      <c r="G28" s="408">
        <f>$K$8*60%*G21</f>
        <v>316.451245512</v>
      </c>
      <c r="H28" s="408">
        <f>$K$8*70%*H21</f>
        <v>391.34470694984</v>
      </c>
      <c r="I28" s="408">
        <f>$K$8*80%*I21</f>
        <v>447.25109365696</v>
      </c>
      <c r="J28" s="408">
        <f>$K$8*90%*J21</f>
        <v>503.15748036408</v>
      </c>
      <c r="K28" s="408">
        <f t="shared" ref="K28:N28" si="19">$K$8*100%*K21</f>
        <v>574.8864293468</v>
      </c>
      <c r="L28" s="408">
        <f t="shared" si="19"/>
        <v>574.8864293468</v>
      </c>
      <c r="M28" s="408">
        <f t="shared" si="19"/>
        <v>574.8864293468</v>
      </c>
      <c r="N28" s="408">
        <f t="shared" si="19"/>
        <v>595.9831790476</v>
      </c>
    </row>
    <row r="29" spans="2:14">
      <c r="B29" s="66" t="s">
        <v>249</v>
      </c>
      <c r="C29" s="400"/>
      <c r="D29" s="400"/>
      <c r="E29" s="408">
        <f>$M$8*20%*E21</f>
        <v>437.3955398</v>
      </c>
      <c r="F29" s="408">
        <f t="shared" ref="F29" si="20">$M$8*20%*F21</f>
        <v>437.3955398</v>
      </c>
      <c r="G29" s="408">
        <f>$M$8*60%*G21</f>
        <v>1312.1866194</v>
      </c>
      <c r="H29" s="408">
        <f>$M$8*70%*H21</f>
        <v>1622.737452658</v>
      </c>
      <c r="I29" s="408">
        <f>$M$8*80%*I21</f>
        <v>1854.557088752</v>
      </c>
      <c r="J29" s="408">
        <f>$M$8*90%*J21</f>
        <v>2086.376724846</v>
      </c>
      <c r="K29" s="408">
        <f>$M$8*100%*K21</f>
        <v>2383.80569191</v>
      </c>
      <c r="L29" s="408">
        <f>$M$8*100%*L21</f>
        <v>2383.80569191</v>
      </c>
      <c r="M29" s="408">
        <f>$M$8*100%*M21</f>
        <v>2383.80569191</v>
      </c>
      <c r="N29" s="408">
        <f>$M$8*100%*N21</f>
        <v>2471.28479987</v>
      </c>
    </row>
    <row r="30" spans="2:14">
      <c r="B30" s="66" t="s">
        <v>251</v>
      </c>
      <c r="C30" s="405"/>
      <c r="D30" s="405"/>
      <c r="E30" s="410">
        <v>1</v>
      </c>
      <c r="F30" s="410">
        <v>1.067</v>
      </c>
      <c r="G30" s="410">
        <f>F30*1.067</f>
        <v>1.138489</v>
      </c>
      <c r="H30" s="410">
        <f t="shared" ref="H30:N30" si="21">G30*1.067</f>
        <v>1.214767763</v>
      </c>
      <c r="I30" s="410">
        <f t="shared" si="21"/>
        <v>1.296157203121</v>
      </c>
      <c r="J30" s="410">
        <f t="shared" si="21"/>
        <v>1.38299973573011</v>
      </c>
      <c r="K30" s="410">
        <f t="shared" si="21"/>
        <v>1.47566071802402</v>
      </c>
      <c r="L30" s="410">
        <f t="shared" si="21"/>
        <v>1.57452998613163</v>
      </c>
      <c r="M30" s="410">
        <f t="shared" si="21"/>
        <v>1.68002349520245</v>
      </c>
      <c r="N30" s="410">
        <f t="shared" si="21"/>
        <v>1.79258506938102</v>
      </c>
    </row>
    <row r="31" spans="2:15">
      <c r="B31" s="411" t="s">
        <v>252</v>
      </c>
      <c r="C31" s="412"/>
      <c r="D31" s="412"/>
      <c r="E31" s="413">
        <f>SUM(E32:E34)</f>
        <v>0</v>
      </c>
      <c r="F31" s="413">
        <f t="shared" ref="F31:N31" si="22">SUM(F32:F34)</f>
        <v>0</v>
      </c>
      <c r="G31" s="413">
        <f t="shared" si="22"/>
        <v>0</v>
      </c>
      <c r="H31" s="413">
        <f t="shared" si="22"/>
        <v>0</v>
      </c>
      <c r="I31" s="413">
        <f t="shared" si="22"/>
        <v>0</v>
      </c>
      <c r="J31" s="413">
        <f t="shared" si="22"/>
        <v>0</v>
      </c>
      <c r="K31" s="413">
        <f t="shared" si="22"/>
        <v>0</v>
      </c>
      <c r="L31" s="413">
        <f t="shared" si="22"/>
        <v>0</v>
      </c>
      <c r="M31" s="413">
        <f t="shared" si="22"/>
        <v>0</v>
      </c>
      <c r="N31" s="413">
        <f t="shared" si="22"/>
        <v>0</v>
      </c>
      <c r="O31" s="307"/>
    </row>
    <row r="32" spans="2:14">
      <c r="B32" s="364" t="s">
        <v>247</v>
      </c>
      <c r="C32" s="412"/>
      <c r="D32" s="412"/>
      <c r="E32" s="413">
        <v>0</v>
      </c>
      <c r="F32" s="413">
        <v>0</v>
      </c>
      <c r="G32" s="413">
        <v>0</v>
      </c>
      <c r="H32" s="413">
        <v>0</v>
      </c>
      <c r="I32" s="413">
        <v>0</v>
      </c>
      <c r="J32" s="413">
        <v>0</v>
      </c>
      <c r="K32" s="413">
        <v>0</v>
      </c>
      <c r="L32" s="413">
        <v>0</v>
      </c>
      <c r="M32" s="413">
        <v>0</v>
      </c>
      <c r="N32" s="413">
        <v>0</v>
      </c>
    </row>
    <row r="33" spans="2:14">
      <c r="B33" s="364" t="s">
        <v>248</v>
      </c>
      <c r="C33" s="412"/>
      <c r="D33" s="412"/>
      <c r="E33" s="413">
        <v>0</v>
      </c>
      <c r="F33" s="413">
        <v>0</v>
      </c>
      <c r="G33" s="413">
        <v>0</v>
      </c>
      <c r="H33" s="413">
        <v>0</v>
      </c>
      <c r="I33" s="413">
        <v>0</v>
      </c>
      <c r="J33" s="413">
        <v>0</v>
      </c>
      <c r="K33" s="413">
        <v>0</v>
      </c>
      <c r="L33" s="413">
        <v>0</v>
      </c>
      <c r="M33" s="413">
        <v>0</v>
      </c>
      <c r="N33" s="413">
        <v>0</v>
      </c>
    </row>
    <row r="34" spans="2:14">
      <c r="B34" s="364" t="s">
        <v>249</v>
      </c>
      <c r="C34" s="412"/>
      <c r="D34" s="412"/>
      <c r="E34" s="413">
        <v>0</v>
      </c>
      <c r="F34" s="413">
        <v>0</v>
      </c>
      <c r="G34" s="413">
        <v>0</v>
      </c>
      <c r="H34" s="413">
        <v>0</v>
      </c>
      <c r="I34" s="413">
        <v>0</v>
      </c>
      <c r="J34" s="413">
        <v>0</v>
      </c>
      <c r="K34" s="413">
        <v>0</v>
      </c>
      <c r="L34" s="413">
        <v>0</v>
      </c>
      <c r="M34" s="413">
        <v>0</v>
      </c>
      <c r="N34" s="413">
        <v>0</v>
      </c>
    </row>
    <row r="35" spans="2:14">
      <c r="B35" s="414" t="s">
        <v>253</v>
      </c>
      <c r="C35" s="400"/>
      <c r="D35" s="400"/>
      <c r="E35" s="408">
        <v>0</v>
      </c>
      <c r="F35" s="408">
        <v>0</v>
      </c>
      <c r="G35" s="408">
        <v>0</v>
      </c>
      <c r="H35" s="408">
        <v>0</v>
      </c>
      <c r="I35" s="408">
        <v>0</v>
      </c>
      <c r="J35" s="408">
        <v>0</v>
      </c>
      <c r="K35" s="408">
        <v>0</v>
      </c>
      <c r="L35" s="408">
        <v>0</v>
      </c>
      <c r="M35" s="408">
        <v>0</v>
      </c>
      <c r="N35" s="408">
        <v>0</v>
      </c>
    </row>
    <row r="36" spans="2:14">
      <c r="B36" s="66" t="s">
        <v>247</v>
      </c>
      <c r="C36" s="400"/>
      <c r="D36" s="400"/>
      <c r="E36" s="408">
        <v>0</v>
      </c>
      <c r="F36" s="408">
        <v>0</v>
      </c>
      <c r="G36" s="408">
        <v>0</v>
      </c>
      <c r="H36" s="408">
        <v>0</v>
      </c>
      <c r="I36" s="408">
        <v>0</v>
      </c>
      <c r="J36" s="408">
        <v>0</v>
      </c>
      <c r="K36" s="408">
        <v>0</v>
      </c>
      <c r="L36" s="408">
        <v>0</v>
      </c>
      <c r="M36" s="408">
        <v>0</v>
      </c>
      <c r="N36" s="408">
        <v>0</v>
      </c>
    </row>
    <row r="37" spans="2:14">
      <c r="B37" s="66" t="s">
        <v>248</v>
      </c>
      <c r="C37" s="400"/>
      <c r="D37" s="400"/>
      <c r="E37" s="408">
        <v>0</v>
      </c>
      <c r="F37" s="408">
        <v>0</v>
      </c>
      <c r="G37" s="408">
        <v>0</v>
      </c>
      <c r="H37" s="408">
        <v>0</v>
      </c>
      <c r="I37" s="408">
        <v>0</v>
      </c>
      <c r="J37" s="408">
        <v>0</v>
      </c>
      <c r="K37" s="408">
        <v>0</v>
      </c>
      <c r="L37" s="408">
        <v>0</v>
      </c>
      <c r="M37" s="408">
        <v>0</v>
      </c>
      <c r="N37" s="408">
        <v>0</v>
      </c>
    </row>
    <row r="38" spans="2:14">
      <c r="B38" s="66" t="s">
        <v>249</v>
      </c>
      <c r="C38" s="400"/>
      <c r="D38" s="400"/>
      <c r="E38" s="408">
        <v>0</v>
      </c>
      <c r="F38" s="408">
        <v>0</v>
      </c>
      <c r="G38" s="408">
        <v>0</v>
      </c>
      <c r="H38" s="408">
        <v>0</v>
      </c>
      <c r="I38" s="408">
        <v>0</v>
      </c>
      <c r="J38" s="408">
        <v>0</v>
      </c>
      <c r="K38" s="408">
        <v>0</v>
      </c>
      <c r="L38" s="408">
        <v>0</v>
      </c>
      <c r="M38" s="408">
        <v>0</v>
      </c>
      <c r="N38" s="408">
        <v>0</v>
      </c>
    </row>
    <row r="39" s="396" customFormat="1" spans="2:14">
      <c r="B39" s="66" t="s">
        <v>4</v>
      </c>
      <c r="C39" s="402">
        <f>C26+C22</f>
        <v>0</v>
      </c>
      <c r="D39" s="402">
        <f>D26+D22</f>
        <v>0</v>
      </c>
      <c r="E39" s="415">
        <f>E26+E22+E31+E35</f>
        <v>2594.524585904</v>
      </c>
      <c r="F39" s="415">
        <f t="shared" ref="F39:N39" si="23">F26+F22+F31+F35</f>
        <v>3420.887664404</v>
      </c>
      <c r="G39" s="415">
        <f t="shared" si="23"/>
        <v>4950.984780212</v>
      </c>
      <c r="H39" s="415">
        <f t="shared" si="23"/>
        <v>5601.05971305784</v>
      </c>
      <c r="I39" s="415">
        <f t="shared" si="23"/>
        <v>5990.80108465896</v>
      </c>
      <c r="J39" s="415">
        <f t="shared" si="23"/>
        <v>6435.63074461208</v>
      </c>
      <c r="K39" s="415">
        <f t="shared" si="23"/>
        <v>6994.2325750618</v>
      </c>
      <c r="L39" s="415">
        <f t="shared" si="23"/>
        <v>6994.2325750618</v>
      </c>
      <c r="M39" s="415">
        <f t="shared" si="23"/>
        <v>7024.8371797018</v>
      </c>
      <c r="N39" s="415">
        <f t="shared" si="23"/>
        <v>7241.8232302626</v>
      </c>
    </row>
    <row r="40" spans="2:14">
      <c r="B40" s="66" t="s">
        <v>247</v>
      </c>
      <c r="C40" s="402">
        <f>C23+C27</f>
        <v>0</v>
      </c>
      <c r="D40" s="402">
        <f t="shared" ref="D40" si="24">D23+D27</f>
        <v>0</v>
      </c>
      <c r="E40" s="408">
        <f>E27+E23+E32+E36</f>
        <v>616.1724976</v>
      </c>
      <c r="F40" s="408">
        <f t="shared" ref="E40:N42" si="25">F27+F23+F32+F36</f>
        <v>793.3237646</v>
      </c>
      <c r="G40" s="408">
        <f t="shared" si="25"/>
        <v>1206.7371388</v>
      </c>
      <c r="H40" s="408">
        <f t="shared" si="25"/>
        <v>1344.43119036</v>
      </c>
      <c r="I40" s="408">
        <f t="shared" si="25"/>
        <v>1446.44653916</v>
      </c>
      <c r="J40" s="408">
        <f t="shared" si="25"/>
        <v>1603.550176312</v>
      </c>
      <c r="K40" s="408">
        <f t="shared" si="25"/>
        <v>1729.52579742</v>
      </c>
      <c r="L40" s="408">
        <f t="shared" si="25"/>
        <v>1729.52579742</v>
      </c>
      <c r="M40" s="408">
        <f t="shared" si="25"/>
        <v>1760.13040206</v>
      </c>
      <c r="N40" s="408">
        <f t="shared" si="25"/>
        <v>1783.9162039</v>
      </c>
    </row>
    <row r="41" spans="2:14">
      <c r="B41" s="66" t="s">
        <v>248</v>
      </c>
      <c r="C41" s="402">
        <f t="shared" ref="C41:D42" si="26">C24+C28</f>
        <v>0</v>
      </c>
      <c r="D41" s="402">
        <f t="shared" si="26"/>
        <v>0</v>
      </c>
      <c r="E41" s="408">
        <f t="shared" si="25"/>
        <v>521.741348504</v>
      </c>
      <c r="F41" s="408">
        <f t="shared" si="25"/>
        <v>697.294782504</v>
      </c>
      <c r="G41" s="408">
        <f t="shared" si="25"/>
        <v>916.687127512</v>
      </c>
      <c r="H41" s="408">
        <f t="shared" si="25"/>
        <v>1027.59474186984</v>
      </c>
      <c r="I41" s="408">
        <f t="shared" si="25"/>
        <v>1083.50112857696</v>
      </c>
      <c r="J41" s="408">
        <f t="shared" si="25"/>
        <v>1139.40751528408</v>
      </c>
      <c r="K41" s="408">
        <f t="shared" si="25"/>
        <v>1229.1435407268</v>
      </c>
      <c r="L41" s="408">
        <f t="shared" si="25"/>
        <v>1229.1435407268</v>
      </c>
      <c r="M41" s="408">
        <f t="shared" si="25"/>
        <v>1229.1435407268</v>
      </c>
      <c r="N41" s="408">
        <f t="shared" si="25"/>
        <v>1274.2497257076</v>
      </c>
    </row>
    <row r="42" spans="2:14">
      <c r="B42" s="66" t="s">
        <v>249</v>
      </c>
      <c r="C42" s="402">
        <f t="shared" si="26"/>
        <v>0</v>
      </c>
      <c r="D42" s="402">
        <f t="shared" si="26"/>
        <v>0</v>
      </c>
      <c r="E42" s="408">
        <f t="shared" si="25"/>
        <v>1456.6107398</v>
      </c>
      <c r="F42" s="408">
        <f t="shared" si="25"/>
        <v>1930.2691173</v>
      </c>
      <c r="G42" s="408">
        <f t="shared" si="25"/>
        <v>2827.5605139</v>
      </c>
      <c r="H42" s="408">
        <f t="shared" si="25"/>
        <v>3229.033780828</v>
      </c>
      <c r="I42" s="408">
        <f t="shared" si="25"/>
        <v>3460.853416922</v>
      </c>
      <c r="J42" s="408">
        <f t="shared" si="25"/>
        <v>3692.673053016</v>
      </c>
      <c r="K42" s="408">
        <f t="shared" si="25"/>
        <v>4035.563236915</v>
      </c>
      <c r="L42" s="408">
        <f t="shared" si="25"/>
        <v>4035.563236915</v>
      </c>
      <c r="M42" s="408">
        <f t="shared" si="25"/>
        <v>4035.563236915</v>
      </c>
      <c r="N42" s="408">
        <f t="shared" si="25"/>
        <v>4183.657300655</v>
      </c>
    </row>
    <row r="44" ht="19" customHeight="1"/>
    <row r="46" ht="18.75" spans="2:9">
      <c r="B46" s="60" t="s">
        <v>254</v>
      </c>
      <c r="C46" s="60"/>
      <c r="D46" s="60"/>
      <c r="E46" s="60"/>
      <c r="F46" s="60"/>
      <c r="G46" s="60"/>
      <c r="H46" s="60"/>
      <c r="I46" s="60"/>
    </row>
    <row r="47" ht="18.75" spans="2:9">
      <c r="B47" s="416"/>
      <c r="C47" s="416"/>
      <c r="D47" s="416"/>
      <c r="E47" s="416"/>
      <c r="F47" s="416"/>
      <c r="G47" s="416"/>
      <c r="H47" s="416"/>
      <c r="I47" s="1"/>
    </row>
    <row r="48" ht="18.75" spans="2:9">
      <c r="B48" s="416"/>
      <c r="C48" s="416"/>
      <c r="D48" s="61" t="s">
        <v>198</v>
      </c>
      <c r="E48" s="82" t="s">
        <v>13</v>
      </c>
      <c r="F48" s="82" t="s">
        <v>14</v>
      </c>
      <c r="G48" s="83" t="s">
        <v>15</v>
      </c>
      <c r="H48" s="417" t="s">
        <v>4</v>
      </c>
      <c r="I48" s="68"/>
    </row>
    <row r="49" ht="18.75" spans="2:9">
      <c r="B49" s="66" t="s">
        <v>81</v>
      </c>
      <c r="C49" s="66" t="s">
        <v>209</v>
      </c>
      <c r="D49" s="67" t="s">
        <v>210</v>
      </c>
      <c r="E49" s="418">
        <f>279729+25672+90332+108900</f>
        <v>504633</v>
      </c>
      <c r="F49" s="418">
        <f>142384+214599+55109+7264+F56</f>
        <v>508847</v>
      </c>
      <c r="G49" s="418">
        <f>751617+84221+G56+G57</f>
        <v>1274019</v>
      </c>
      <c r="H49" s="418">
        <f>SUM(E49:G49)</f>
        <v>2287499</v>
      </c>
      <c r="I49" s="426" t="s">
        <v>211</v>
      </c>
    </row>
    <row r="50" ht="18.75" spans="2:9">
      <c r="B50" s="66" t="s">
        <v>83</v>
      </c>
      <c r="C50" s="66" t="s">
        <v>213</v>
      </c>
      <c r="D50" s="67" t="s">
        <v>210</v>
      </c>
      <c r="E50" s="419">
        <f>67147+167137+14175</f>
        <v>248459</v>
      </c>
      <c r="F50" s="419">
        <f>47397+2200+178439+18182</f>
        <v>246218</v>
      </c>
      <c r="G50" s="419">
        <f>188653+56998+418666.5</f>
        <v>664317.5</v>
      </c>
      <c r="H50" s="418">
        <f t="shared" ref="H50:H60" si="27">SUM(E50:G50)</f>
        <v>1158994.5</v>
      </c>
      <c r="I50" s="427" t="s">
        <v>211</v>
      </c>
    </row>
    <row r="51" ht="18.75" spans="2:9">
      <c r="B51" s="71" t="s">
        <v>85</v>
      </c>
      <c r="C51" s="66" t="s">
        <v>215</v>
      </c>
      <c r="D51" s="71" t="s">
        <v>216</v>
      </c>
      <c r="E51" s="419">
        <f>176+120+240+30+30+60+25</f>
        <v>681</v>
      </c>
      <c r="F51" s="419">
        <f>120+245+77+46+238+82+84+35+50+55+10+30</f>
        <v>1072</v>
      </c>
      <c r="G51" s="419">
        <f>92+370+983+214+242+114+460+300+88</f>
        <v>2863</v>
      </c>
      <c r="H51" s="418">
        <f t="shared" si="27"/>
        <v>4616</v>
      </c>
      <c r="I51" s="69"/>
    </row>
    <row r="52" ht="18.75" spans="2:9">
      <c r="B52" s="71" t="s">
        <v>87</v>
      </c>
      <c r="C52" s="66" t="s">
        <v>218</v>
      </c>
      <c r="D52" s="71" t="s">
        <v>219</v>
      </c>
      <c r="E52" s="419">
        <v>1654</v>
      </c>
      <c r="F52" s="419">
        <v>1800</v>
      </c>
      <c r="G52" s="419">
        <v>0</v>
      </c>
      <c r="H52" s="418">
        <f t="shared" si="27"/>
        <v>3454</v>
      </c>
      <c r="I52" s="69"/>
    </row>
    <row r="53" ht="18.75" spans="2:9">
      <c r="B53" s="71"/>
      <c r="C53" s="66" t="s">
        <v>220</v>
      </c>
      <c r="D53" s="67"/>
      <c r="E53" s="419"/>
      <c r="F53" s="419"/>
      <c r="G53" s="419"/>
      <c r="H53" s="418">
        <f t="shared" si="27"/>
        <v>0</v>
      </c>
      <c r="I53" s="69"/>
    </row>
    <row r="54" ht="48" spans="2:9">
      <c r="B54" s="71" t="s">
        <v>89</v>
      </c>
      <c r="C54" s="61" t="s">
        <v>221</v>
      </c>
      <c r="D54" s="67"/>
      <c r="E54" s="419"/>
      <c r="F54" s="419"/>
      <c r="G54" s="419"/>
      <c r="H54" s="418">
        <f t="shared" si="27"/>
        <v>0</v>
      </c>
      <c r="I54" s="69"/>
    </row>
    <row r="55" ht="18.75" spans="2:9">
      <c r="B55" s="71">
        <v>1</v>
      </c>
      <c r="C55" s="71" t="s">
        <v>222</v>
      </c>
      <c r="D55" s="67" t="s">
        <v>210</v>
      </c>
      <c r="E55" s="419">
        <f>279729+0</f>
        <v>279729</v>
      </c>
      <c r="F55" s="419">
        <v>142384.27</v>
      </c>
      <c r="G55" s="419">
        <v>751617</v>
      </c>
      <c r="H55" s="418">
        <f t="shared" si="27"/>
        <v>1173730.27</v>
      </c>
      <c r="I55" s="427" t="s">
        <v>223</v>
      </c>
    </row>
    <row r="56" ht="18.75" spans="2:9">
      <c r="B56" s="73">
        <v>2</v>
      </c>
      <c r="C56" s="71" t="s">
        <v>225</v>
      </c>
      <c r="D56" s="67" t="s">
        <v>210</v>
      </c>
      <c r="E56" s="419">
        <f>2888+3300+1650+3300+5775+3713+5775+14362+12375+29769+7425</f>
        <v>90332</v>
      </c>
      <c r="F56" s="419">
        <v>89491</v>
      </c>
      <c r="G56" s="419">
        <f>24902+44856+268433+99990</f>
        <v>438181</v>
      </c>
      <c r="H56" s="418">
        <f t="shared" si="27"/>
        <v>618004</v>
      </c>
      <c r="I56" s="427" t="s">
        <v>226</v>
      </c>
    </row>
    <row r="57" ht="18.75" spans="2:9">
      <c r="B57" s="71">
        <v>3</v>
      </c>
      <c r="C57" s="71" t="s">
        <v>228</v>
      </c>
      <c r="D57" s="67" t="s">
        <v>210</v>
      </c>
      <c r="E57" s="419">
        <f>3960*13.75*2</f>
        <v>108900</v>
      </c>
      <c r="F57" s="419"/>
      <c r="G57" s="419">
        <v>0</v>
      </c>
      <c r="H57" s="418">
        <f t="shared" si="27"/>
        <v>108900</v>
      </c>
      <c r="I57" s="427" t="s">
        <v>226</v>
      </c>
    </row>
    <row r="58" ht="18.75" spans="2:9">
      <c r="B58" s="71">
        <v>4</v>
      </c>
      <c r="C58" s="71" t="s">
        <v>229</v>
      </c>
      <c r="D58" s="67" t="s">
        <v>230</v>
      </c>
      <c r="E58" s="419">
        <v>12217</v>
      </c>
      <c r="F58" s="419">
        <v>9070</v>
      </c>
      <c r="G58" s="419">
        <v>223200</v>
      </c>
      <c r="H58" s="418">
        <f t="shared" si="27"/>
        <v>244487</v>
      </c>
      <c r="I58" s="69"/>
    </row>
    <row r="59" ht="18.75" spans="2:9">
      <c r="B59" s="71">
        <v>5</v>
      </c>
      <c r="C59" s="73" t="s">
        <v>231</v>
      </c>
      <c r="D59" s="73" t="s">
        <v>230</v>
      </c>
      <c r="E59" s="419">
        <v>4378</v>
      </c>
      <c r="F59" s="419">
        <v>2000</v>
      </c>
      <c r="G59" s="419">
        <v>5600</v>
      </c>
      <c r="H59" s="418">
        <f t="shared" si="27"/>
        <v>11978</v>
      </c>
      <c r="I59" s="69"/>
    </row>
    <row r="60" ht="18.75" spans="2:9">
      <c r="B60" s="71">
        <v>6</v>
      </c>
      <c r="C60" s="71" t="s">
        <v>232</v>
      </c>
      <c r="D60" s="73" t="s">
        <v>230</v>
      </c>
      <c r="E60" s="419">
        <f>15081+10414+14714+8050+16114</f>
        <v>64373</v>
      </c>
      <c r="F60" s="419">
        <f>24350+4866+1526+7000+4563+10502+147+4563+603</f>
        <v>58120</v>
      </c>
      <c r="G60" s="419">
        <f>44640+31248+15624+14466</f>
        <v>105978</v>
      </c>
      <c r="H60" s="418">
        <f t="shared" si="27"/>
        <v>228471</v>
      </c>
      <c r="I60" s="69"/>
    </row>
  </sheetData>
  <mergeCells count="3">
    <mergeCell ref="A1:N1"/>
    <mergeCell ref="B19:N19"/>
    <mergeCell ref="B46:I46"/>
  </mergeCells>
  <pageMargins left="0.747916666666667" right="0.747916666666667" top="0.786805555555556" bottom="0.786805555555556" header="0.511805555555556" footer="0.511805555555556"/>
  <pageSetup paperSize="9" scale="81" fitToHeight="100" orientation="landscape" useFirstPageNumber="1" errors="NA" horizontalDpi="600"/>
  <headerFooter alignWithMargins="0"/>
  <ignoredErrors>
    <ignoredError sqref="K28:N28" formula="1"/>
  </ignoredError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61"/>
  <sheetViews>
    <sheetView topLeftCell="J19" workbookViewId="0">
      <selection activeCell="C24" sqref="C24:T24"/>
    </sheetView>
  </sheetViews>
  <sheetFormatPr defaultColWidth="9" defaultRowHeight="14.25"/>
  <cols>
    <col min="3" max="3" width="12.875" customWidth="1"/>
    <col min="4" max="4" width="12.75" customWidth="1"/>
    <col min="5" max="5" width="15.625" customWidth="1"/>
    <col min="6" max="6" width="11.625" customWidth="1"/>
    <col min="7" max="8" width="12.75" customWidth="1"/>
    <col min="9" max="9" width="9.125" customWidth="1"/>
    <col min="10" max="10" width="7.375" customWidth="1"/>
    <col min="11" max="13" width="12.75" customWidth="1"/>
    <col min="14" max="14" width="12" customWidth="1"/>
    <col min="15" max="16" width="12.75" customWidth="1"/>
    <col min="17" max="17" width="15.75" customWidth="1"/>
    <col min="18" max="19" width="12.75" customWidth="1"/>
    <col min="20" max="20" width="12" customWidth="1"/>
  </cols>
  <sheetData>
    <row r="1" ht="15" spans="3:20">
      <c r="C1" s="362" t="s">
        <v>255</v>
      </c>
      <c r="D1" s="362"/>
      <c r="E1" s="362"/>
      <c r="F1" s="362"/>
      <c r="G1" s="362"/>
      <c r="H1" s="362"/>
      <c r="I1" s="362"/>
      <c r="J1" s="362"/>
      <c r="K1" s="362"/>
      <c r="L1" s="362"/>
      <c r="M1" s="362"/>
      <c r="N1" s="362"/>
      <c r="O1" s="362"/>
      <c r="P1" s="362"/>
      <c r="Q1" s="362"/>
      <c r="R1" s="362"/>
      <c r="S1" s="362"/>
      <c r="T1" s="362"/>
    </row>
    <row r="2" ht="15" spans="3:20">
      <c r="C2" s="363" t="s">
        <v>256</v>
      </c>
      <c r="D2" s="66" t="s">
        <v>3</v>
      </c>
      <c r="E2" s="66"/>
      <c r="F2" s="66" t="s">
        <v>6</v>
      </c>
      <c r="G2" s="66" t="s">
        <v>7</v>
      </c>
      <c r="H2" s="66" t="s">
        <v>8</v>
      </c>
      <c r="I2" s="61" t="s">
        <v>9</v>
      </c>
      <c r="J2" s="61" t="s">
        <v>10</v>
      </c>
      <c r="K2" s="61" t="s">
        <v>235</v>
      </c>
      <c r="L2" s="61" t="s">
        <v>236</v>
      </c>
      <c r="M2" s="61" t="s">
        <v>237</v>
      </c>
      <c r="N2" s="61" t="s">
        <v>238</v>
      </c>
      <c r="O2" s="61" t="s">
        <v>239</v>
      </c>
      <c r="P2" s="61" t="s">
        <v>240</v>
      </c>
      <c r="Q2" s="61" t="s">
        <v>241</v>
      </c>
      <c r="R2" s="61" t="s">
        <v>242</v>
      </c>
      <c r="S2" s="61" t="s">
        <v>243</v>
      </c>
      <c r="T2" s="61" t="s">
        <v>244</v>
      </c>
    </row>
    <row r="3" ht="15" hidden="1" spans="3:20">
      <c r="C3" s="363"/>
      <c r="D3" s="61" t="s">
        <v>257</v>
      </c>
      <c r="E3" s="66"/>
      <c r="F3" s="364">
        <v>1</v>
      </c>
      <c r="G3" s="364">
        <v>1</v>
      </c>
      <c r="H3" s="364">
        <v>1</v>
      </c>
      <c r="I3" s="391">
        <v>1</v>
      </c>
      <c r="J3" s="391">
        <v>1</v>
      </c>
      <c r="K3" s="391">
        <v>1</v>
      </c>
      <c r="L3" s="391">
        <v>1</v>
      </c>
      <c r="M3" s="391">
        <v>1</v>
      </c>
      <c r="N3" s="391">
        <v>1</v>
      </c>
      <c r="O3" s="391">
        <v>1</v>
      </c>
      <c r="P3" s="391">
        <v>1</v>
      </c>
      <c r="Q3" s="391">
        <v>1</v>
      </c>
      <c r="R3" s="391">
        <v>1</v>
      </c>
      <c r="S3" s="391">
        <v>1</v>
      </c>
      <c r="T3" s="391">
        <v>1</v>
      </c>
    </row>
    <row r="4" spans="3:20">
      <c r="C4" s="365" t="s">
        <v>258</v>
      </c>
      <c r="D4" s="366" t="s">
        <v>4</v>
      </c>
      <c r="E4" s="367">
        <f>SUM(F4:T4)</f>
        <v>28308.916</v>
      </c>
      <c r="F4" s="367">
        <f>F8+F12+F16</f>
        <v>0</v>
      </c>
      <c r="G4" s="367">
        <f t="shared" ref="G4:T4" si="0">G8+G12+G16</f>
        <v>0</v>
      </c>
      <c r="H4" s="367">
        <f t="shared" si="0"/>
        <v>0</v>
      </c>
      <c r="I4" s="367">
        <f t="shared" si="0"/>
        <v>0</v>
      </c>
      <c r="J4" s="367">
        <f t="shared" si="0"/>
        <v>0</v>
      </c>
      <c r="K4" s="367">
        <f t="shared" si="0"/>
        <v>1679.89496</v>
      </c>
      <c r="L4" s="367">
        <f t="shared" si="0"/>
        <v>1866.29496</v>
      </c>
      <c r="M4" s="367">
        <f t="shared" si="0"/>
        <v>2301.99328</v>
      </c>
      <c r="N4" s="367">
        <f t="shared" si="0"/>
        <v>2488.39328</v>
      </c>
      <c r="O4" s="367">
        <f t="shared" si="0"/>
        <v>2924.0916</v>
      </c>
      <c r="P4" s="367">
        <f t="shared" si="0"/>
        <v>3110.4916</v>
      </c>
      <c r="Q4" s="367">
        <f t="shared" si="0"/>
        <v>3359.78992</v>
      </c>
      <c r="R4" s="367">
        <f t="shared" si="0"/>
        <v>3359.78992</v>
      </c>
      <c r="S4" s="367">
        <f t="shared" si="0"/>
        <v>3609.08824</v>
      </c>
      <c r="T4" s="367">
        <f t="shared" si="0"/>
        <v>3609.08824</v>
      </c>
    </row>
    <row r="5" spans="3:20">
      <c r="C5" s="368"/>
      <c r="D5" s="366" t="s">
        <v>13</v>
      </c>
      <c r="E5" s="369">
        <f t="shared" ref="E5:E19" si="1">SUM(F5:T5)</f>
        <v>4780.74</v>
      </c>
      <c r="F5" s="369">
        <f t="shared" ref="F5:T7" si="2">F9+F13+F17</f>
        <v>0</v>
      </c>
      <c r="G5" s="369">
        <f t="shared" si="2"/>
        <v>0</v>
      </c>
      <c r="H5" s="369">
        <f t="shared" si="2"/>
        <v>0</v>
      </c>
      <c r="I5" s="369">
        <f t="shared" si="2"/>
        <v>0</v>
      </c>
      <c r="J5" s="369">
        <f>J9+J13+J17</f>
        <v>0</v>
      </c>
      <c r="K5" s="369">
        <f t="shared" si="2"/>
        <v>282.8844</v>
      </c>
      <c r="L5" s="369">
        <f>L9+L13+L17</f>
        <v>322.4844</v>
      </c>
      <c r="M5" s="369">
        <f t="shared" si="2"/>
        <v>390.3792</v>
      </c>
      <c r="N5" s="369">
        <f t="shared" si="2"/>
        <v>429.9792</v>
      </c>
      <c r="O5" s="369">
        <f t="shared" si="2"/>
        <v>497.874</v>
      </c>
      <c r="P5" s="369">
        <f t="shared" si="2"/>
        <v>537.474</v>
      </c>
      <c r="Q5" s="369">
        <f t="shared" si="2"/>
        <v>565.7688</v>
      </c>
      <c r="R5" s="369">
        <f t="shared" si="2"/>
        <v>565.7688</v>
      </c>
      <c r="S5" s="369">
        <f t="shared" si="2"/>
        <v>594.0636</v>
      </c>
      <c r="T5" s="369">
        <f t="shared" si="2"/>
        <v>594.0636</v>
      </c>
    </row>
    <row r="6" spans="3:20">
      <c r="C6" s="368"/>
      <c r="D6" s="366" t="s">
        <v>14</v>
      </c>
      <c r="E6" s="369">
        <f t="shared" si="1"/>
        <v>5571.916</v>
      </c>
      <c r="F6" s="369">
        <f t="shared" si="2"/>
        <v>0</v>
      </c>
      <c r="G6" s="369">
        <f t="shared" si="2"/>
        <v>0</v>
      </c>
      <c r="H6" s="369">
        <f t="shared" si="2"/>
        <v>0</v>
      </c>
      <c r="I6" s="369">
        <f t="shared" si="2"/>
        <v>0</v>
      </c>
      <c r="J6" s="369">
        <f t="shared" si="2"/>
        <v>0</v>
      </c>
      <c r="K6" s="369">
        <f t="shared" si="2"/>
        <v>331.15496</v>
      </c>
      <c r="L6" s="369">
        <f t="shared" si="2"/>
        <v>362.75496</v>
      </c>
      <c r="M6" s="369">
        <f t="shared" si="2"/>
        <v>452.07328</v>
      </c>
      <c r="N6" s="369">
        <f t="shared" si="2"/>
        <v>483.67328</v>
      </c>
      <c r="O6" s="369">
        <f t="shared" si="2"/>
        <v>572.9916</v>
      </c>
      <c r="P6" s="369">
        <f t="shared" si="2"/>
        <v>604.5916</v>
      </c>
      <c r="Q6" s="369">
        <f t="shared" si="2"/>
        <v>662.30992</v>
      </c>
      <c r="R6" s="369">
        <f t="shared" si="2"/>
        <v>662.30992</v>
      </c>
      <c r="S6" s="369">
        <f t="shared" si="2"/>
        <v>720.02824</v>
      </c>
      <c r="T6" s="369">
        <f t="shared" si="2"/>
        <v>720.02824</v>
      </c>
    </row>
    <row r="7" ht="15" spans="3:20">
      <c r="C7" s="370"/>
      <c r="D7" s="366" t="s">
        <v>15</v>
      </c>
      <c r="E7" s="369">
        <f t="shared" si="1"/>
        <v>17956.26</v>
      </c>
      <c r="F7" s="369">
        <f t="shared" si="2"/>
        <v>0</v>
      </c>
      <c r="G7" s="369">
        <f t="shared" si="2"/>
        <v>0</v>
      </c>
      <c r="H7" s="369">
        <f t="shared" si="2"/>
        <v>0</v>
      </c>
      <c r="I7" s="369">
        <f t="shared" si="2"/>
        <v>0</v>
      </c>
      <c r="J7" s="369">
        <f t="shared" si="2"/>
        <v>0</v>
      </c>
      <c r="K7" s="369">
        <f t="shared" si="2"/>
        <v>1065.8556</v>
      </c>
      <c r="L7" s="369">
        <f t="shared" si="2"/>
        <v>1181.0556</v>
      </c>
      <c r="M7" s="369">
        <f t="shared" si="2"/>
        <v>1459.5408</v>
      </c>
      <c r="N7" s="369">
        <f t="shared" si="2"/>
        <v>1574.7408</v>
      </c>
      <c r="O7" s="369">
        <f t="shared" si="2"/>
        <v>1853.226</v>
      </c>
      <c r="P7" s="369">
        <f t="shared" si="2"/>
        <v>1968.426</v>
      </c>
      <c r="Q7" s="369">
        <f t="shared" si="2"/>
        <v>2131.7112</v>
      </c>
      <c r="R7" s="369">
        <f t="shared" si="2"/>
        <v>2131.7112</v>
      </c>
      <c r="S7" s="369">
        <f t="shared" si="2"/>
        <v>2294.9964</v>
      </c>
      <c r="T7" s="369">
        <f t="shared" si="2"/>
        <v>2294.9964</v>
      </c>
    </row>
    <row r="8" spans="3:20">
      <c r="C8" s="365" t="s">
        <v>259</v>
      </c>
      <c r="D8" s="366" t="s">
        <v>4</v>
      </c>
      <c r="E8" s="367">
        <f t="shared" si="1"/>
        <v>15844</v>
      </c>
      <c r="F8" s="371">
        <f>SUM(F9:F11)</f>
        <v>0</v>
      </c>
      <c r="G8" s="371">
        <f t="shared" ref="G8:T8" si="3">SUM(G9:G11)</f>
        <v>0</v>
      </c>
      <c r="H8" s="371">
        <f t="shared" si="3"/>
        <v>0</v>
      </c>
      <c r="I8" s="371">
        <f t="shared" si="3"/>
        <v>0</v>
      </c>
      <c r="J8" s="371">
        <f t="shared" si="3"/>
        <v>0</v>
      </c>
      <c r="K8" s="371">
        <f t="shared" si="3"/>
        <v>932</v>
      </c>
      <c r="L8" s="371">
        <f t="shared" si="3"/>
        <v>1118.4</v>
      </c>
      <c r="M8" s="371">
        <f t="shared" si="3"/>
        <v>1304.8</v>
      </c>
      <c r="N8" s="371">
        <f t="shared" si="3"/>
        <v>1491.2</v>
      </c>
      <c r="O8" s="371">
        <f t="shared" si="3"/>
        <v>1677.6</v>
      </c>
      <c r="P8" s="371">
        <f t="shared" si="3"/>
        <v>1864</v>
      </c>
      <c r="Q8" s="371">
        <f t="shared" si="3"/>
        <v>1864</v>
      </c>
      <c r="R8" s="371">
        <f t="shared" si="3"/>
        <v>1864</v>
      </c>
      <c r="S8" s="371">
        <f t="shared" si="3"/>
        <v>1864</v>
      </c>
      <c r="T8" s="371">
        <f t="shared" si="3"/>
        <v>1864</v>
      </c>
    </row>
    <row r="9" spans="3:20">
      <c r="C9" s="368"/>
      <c r="D9" s="366" t="s">
        <v>13</v>
      </c>
      <c r="E9" s="369">
        <f t="shared" si="1"/>
        <v>3366</v>
      </c>
      <c r="F9" s="369"/>
      <c r="G9" s="369"/>
      <c r="H9" s="369"/>
      <c r="I9" s="374"/>
      <c r="J9" s="374"/>
      <c r="K9" s="369">
        <f>K27</f>
        <v>198</v>
      </c>
      <c r="L9" s="369">
        <f t="shared" ref="L9:T9" si="4">L27</f>
        <v>237.6</v>
      </c>
      <c r="M9" s="369">
        <f t="shared" si="4"/>
        <v>277.2</v>
      </c>
      <c r="N9" s="369">
        <f t="shared" si="4"/>
        <v>316.8</v>
      </c>
      <c r="O9" s="369">
        <f t="shared" si="4"/>
        <v>356.4</v>
      </c>
      <c r="P9" s="369">
        <f t="shared" si="4"/>
        <v>396</v>
      </c>
      <c r="Q9" s="369">
        <f t="shared" si="4"/>
        <v>396</v>
      </c>
      <c r="R9" s="369">
        <f t="shared" si="4"/>
        <v>396</v>
      </c>
      <c r="S9" s="369">
        <f t="shared" si="4"/>
        <v>396</v>
      </c>
      <c r="T9" s="369">
        <f t="shared" si="4"/>
        <v>396</v>
      </c>
    </row>
    <row r="10" spans="3:20">
      <c r="C10" s="368"/>
      <c r="D10" s="366" t="s">
        <v>14</v>
      </c>
      <c r="E10" s="369">
        <f t="shared" si="1"/>
        <v>2686</v>
      </c>
      <c r="F10" s="369"/>
      <c r="G10" s="369"/>
      <c r="H10" s="369"/>
      <c r="I10" s="374"/>
      <c r="J10" s="374"/>
      <c r="K10" s="369">
        <f t="shared" ref="K10:T11" si="5">K28</f>
        <v>158</v>
      </c>
      <c r="L10" s="369">
        <f t="shared" si="5"/>
        <v>189.6</v>
      </c>
      <c r="M10" s="369">
        <f t="shared" si="5"/>
        <v>221.2</v>
      </c>
      <c r="N10" s="369">
        <f t="shared" si="5"/>
        <v>252.8</v>
      </c>
      <c r="O10" s="369">
        <f t="shared" si="5"/>
        <v>284.4</v>
      </c>
      <c r="P10" s="369">
        <f t="shared" si="5"/>
        <v>316</v>
      </c>
      <c r="Q10" s="369">
        <f t="shared" si="5"/>
        <v>316</v>
      </c>
      <c r="R10" s="369">
        <f t="shared" si="5"/>
        <v>316</v>
      </c>
      <c r="S10" s="369">
        <f t="shared" si="5"/>
        <v>316</v>
      </c>
      <c r="T10" s="369">
        <f t="shared" si="5"/>
        <v>316</v>
      </c>
    </row>
    <row r="11" ht="15" spans="3:20">
      <c r="C11" s="370"/>
      <c r="D11" s="366" t="s">
        <v>15</v>
      </c>
      <c r="E11" s="369">
        <f t="shared" si="1"/>
        <v>9792</v>
      </c>
      <c r="F11" s="369"/>
      <c r="G11" s="369"/>
      <c r="H11" s="369"/>
      <c r="I11" s="374"/>
      <c r="J11" s="374"/>
      <c r="K11" s="369">
        <f t="shared" si="5"/>
        <v>576</v>
      </c>
      <c r="L11" s="369">
        <f t="shared" si="5"/>
        <v>691.2</v>
      </c>
      <c r="M11" s="369">
        <f t="shared" si="5"/>
        <v>806.4</v>
      </c>
      <c r="N11" s="369">
        <f t="shared" si="5"/>
        <v>921.6</v>
      </c>
      <c r="O11" s="369">
        <f t="shared" si="5"/>
        <v>1036.8</v>
      </c>
      <c r="P11" s="369">
        <f t="shared" si="5"/>
        <v>1152</v>
      </c>
      <c r="Q11" s="369">
        <f t="shared" si="5"/>
        <v>1152</v>
      </c>
      <c r="R11" s="369">
        <f t="shared" si="5"/>
        <v>1152</v>
      </c>
      <c r="S11" s="369">
        <f t="shared" si="5"/>
        <v>1152</v>
      </c>
      <c r="T11" s="369">
        <f t="shared" si="5"/>
        <v>1152</v>
      </c>
    </row>
    <row r="12" spans="3:20">
      <c r="C12" s="372" t="s">
        <v>260</v>
      </c>
      <c r="D12" s="366" t="s">
        <v>4</v>
      </c>
      <c r="E12" s="367">
        <f t="shared" si="1"/>
        <v>12464.916</v>
      </c>
      <c r="F12" s="371">
        <f>SUM(F13:F15)</f>
        <v>0</v>
      </c>
      <c r="G12" s="371">
        <f t="shared" ref="G12:H12" si="6">SUM(G13:G15)</f>
        <v>0</v>
      </c>
      <c r="H12" s="371">
        <f t="shared" si="6"/>
        <v>0</v>
      </c>
      <c r="I12" s="371">
        <f t="shared" ref="I12" si="7">SUM(I13:I15)</f>
        <v>0</v>
      </c>
      <c r="J12" s="371">
        <f t="shared" ref="J12" si="8">SUM(J13:J15)</f>
        <v>0</v>
      </c>
      <c r="K12" s="371">
        <f t="shared" ref="K12" si="9">SUM(K13:K15)</f>
        <v>747.89496</v>
      </c>
      <c r="L12" s="371">
        <f t="shared" ref="L12" si="10">SUM(L13:L15)</f>
        <v>747.89496</v>
      </c>
      <c r="M12" s="371">
        <f t="shared" ref="M12" si="11">SUM(M13:M15)</f>
        <v>997.19328</v>
      </c>
      <c r="N12" s="371">
        <f t="shared" ref="N12" si="12">SUM(N13:N15)</f>
        <v>997.19328</v>
      </c>
      <c r="O12" s="371">
        <f t="shared" ref="O12" si="13">SUM(O13:O15)</f>
        <v>1246.4916</v>
      </c>
      <c r="P12" s="371">
        <f t="shared" ref="P12" si="14">SUM(P13:P15)</f>
        <v>1246.4916</v>
      </c>
      <c r="Q12" s="371">
        <f t="shared" ref="Q12" si="15">SUM(Q13:Q15)</f>
        <v>1495.78992</v>
      </c>
      <c r="R12" s="371">
        <f t="shared" ref="R12" si="16">SUM(R13:R15)</f>
        <v>1495.78992</v>
      </c>
      <c r="S12" s="371">
        <f t="shared" ref="S12" si="17">SUM(S13:S15)</f>
        <v>1745.08824</v>
      </c>
      <c r="T12" s="371">
        <f t="shared" ref="T12" si="18">SUM(T13:T15)</f>
        <v>1745.08824</v>
      </c>
    </row>
    <row r="13" spans="3:20">
      <c r="C13" s="368"/>
      <c r="D13" s="366" t="s">
        <v>13</v>
      </c>
      <c r="E13" s="369">
        <f t="shared" si="1"/>
        <v>1414.74</v>
      </c>
      <c r="F13" s="369"/>
      <c r="G13" s="369"/>
      <c r="H13" s="369"/>
      <c r="I13" s="374"/>
      <c r="J13" s="374"/>
      <c r="K13" s="369">
        <f>K52</f>
        <v>84.8844</v>
      </c>
      <c r="L13" s="369">
        <f t="shared" ref="L13:T13" si="19">L52</f>
        <v>84.8844</v>
      </c>
      <c r="M13" s="369">
        <f t="shared" si="19"/>
        <v>113.1792</v>
      </c>
      <c r="N13" s="369">
        <f t="shared" si="19"/>
        <v>113.1792</v>
      </c>
      <c r="O13" s="369">
        <f t="shared" si="19"/>
        <v>141.474</v>
      </c>
      <c r="P13" s="369">
        <f t="shared" si="19"/>
        <v>141.474</v>
      </c>
      <c r="Q13" s="369">
        <f t="shared" si="19"/>
        <v>169.7688</v>
      </c>
      <c r="R13" s="369">
        <f t="shared" si="19"/>
        <v>169.7688</v>
      </c>
      <c r="S13" s="369">
        <f t="shared" si="19"/>
        <v>198.0636</v>
      </c>
      <c r="T13" s="369">
        <f t="shared" si="19"/>
        <v>198.0636</v>
      </c>
    </row>
    <row r="14" spans="3:20">
      <c r="C14" s="368"/>
      <c r="D14" s="366" t="s">
        <v>14</v>
      </c>
      <c r="E14" s="369">
        <f t="shared" si="1"/>
        <v>2885.916</v>
      </c>
      <c r="F14" s="369"/>
      <c r="G14" s="369"/>
      <c r="H14" s="369"/>
      <c r="I14" s="374"/>
      <c r="J14" s="374"/>
      <c r="K14" s="369">
        <f t="shared" ref="K14:T15" si="20">K53</f>
        <v>173.15496</v>
      </c>
      <c r="L14" s="369">
        <f t="shared" si="20"/>
        <v>173.15496</v>
      </c>
      <c r="M14" s="369">
        <f t="shared" si="20"/>
        <v>230.87328</v>
      </c>
      <c r="N14" s="369">
        <f t="shared" si="20"/>
        <v>230.87328</v>
      </c>
      <c r="O14" s="369">
        <f t="shared" si="20"/>
        <v>288.5916</v>
      </c>
      <c r="P14" s="369">
        <f t="shared" si="20"/>
        <v>288.5916</v>
      </c>
      <c r="Q14" s="369">
        <f t="shared" si="20"/>
        <v>346.30992</v>
      </c>
      <c r="R14" s="369">
        <f t="shared" si="20"/>
        <v>346.30992</v>
      </c>
      <c r="S14" s="369">
        <f t="shared" si="20"/>
        <v>404.02824</v>
      </c>
      <c r="T14" s="369">
        <f t="shared" si="20"/>
        <v>404.02824</v>
      </c>
    </row>
    <row r="15" ht="15" spans="3:20">
      <c r="C15" s="370"/>
      <c r="D15" s="366" t="s">
        <v>15</v>
      </c>
      <c r="E15" s="369">
        <f t="shared" si="1"/>
        <v>8164.26</v>
      </c>
      <c r="F15" s="369"/>
      <c r="G15" s="369"/>
      <c r="H15" s="369"/>
      <c r="I15" s="374"/>
      <c r="J15" s="374"/>
      <c r="K15" s="369">
        <f t="shared" si="20"/>
        <v>489.8556</v>
      </c>
      <c r="L15" s="369">
        <f t="shared" si="20"/>
        <v>489.8556</v>
      </c>
      <c r="M15" s="369">
        <f t="shared" si="20"/>
        <v>653.1408</v>
      </c>
      <c r="N15" s="369">
        <f t="shared" si="20"/>
        <v>653.1408</v>
      </c>
      <c r="O15" s="369">
        <f t="shared" si="20"/>
        <v>816.426</v>
      </c>
      <c r="P15" s="369">
        <f t="shared" si="20"/>
        <v>816.426</v>
      </c>
      <c r="Q15" s="369">
        <f t="shared" si="20"/>
        <v>979.7112</v>
      </c>
      <c r="R15" s="369">
        <f t="shared" si="20"/>
        <v>979.7112</v>
      </c>
      <c r="S15" s="369">
        <f t="shared" si="20"/>
        <v>1142.9964</v>
      </c>
      <c r="T15" s="369">
        <f t="shared" si="20"/>
        <v>1142.9964</v>
      </c>
    </row>
    <row r="16" spans="3:20">
      <c r="C16" s="365" t="s">
        <v>261</v>
      </c>
      <c r="D16" s="366" t="s">
        <v>4</v>
      </c>
      <c r="E16" s="369">
        <f t="shared" si="1"/>
        <v>0</v>
      </c>
      <c r="F16" s="373">
        <f>SUM(F17:F19)</f>
        <v>0</v>
      </c>
      <c r="G16" s="373">
        <f t="shared" ref="G16:H16" si="21">SUM(G17:G19)</f>
        <v>0</v>
      </c>
      <c r="H16" s="373">
        <f t="shared" si="21"/>
        <v>0</v>
      </c>
      <c r="I16" s="373">
        <f t="shared" ref="I16" si="22">SUM(I17:I19)</f>
        <v>0</v>
      </c>
      <c r="J16" s="373">
        <f t="shared" ref="J16" si="23">SUM(J17:J19)</f>
        <v>0</v>
      </c>
      <c r="K16" s="373">
        <f t="shared" ref="K16" si="24">SUM(K17:K19)</f>
        <v>0</v>
      </c>
      <c r="L16" s="373">
        <f t="shared" ref="L16" si="25">SUM(L17:L19)</f>
        <v>0</v>
      </c>
      <c r="M16" s="373">
        <f t="shared" ref="M16" si="26">SUM(M17:M19)</f>
        <v>0</v>
      </c>
      <c r="N16" s="373">
        <f t="shared" ref="N16" si="27">SUM(N17:N19)</f>
        <v>0</v>
      </c>
      <c r="O16" s="373">
        <f t="shared" ref="O16" si="28">SUM(O17:O19)</f>
        <v>0</v>
      </c>
      <c r="P16" s="373">
        <f t="shared" ref="P16" si="29">SUM(P17:P19)</f>
        <v>0</v>
      </c>
      <c r="Q16" s="373">
        <f t="shared" ref="Q16" si="30">SUM(Q17:Q19)</f>
        <v>0</v>
      </c>
      <c r="R16" s="373">
        <f t="shared" ref="R16" si="31">SUM(R17:R19)</f>
        <v>0</v>
      </c>
      <c r="S16" s="373">
        <f t="shared" ref="S16" si="32">SUM(S17:S19)</f>
        <v>0</v>
      </c>
      <c r="T16" s="373">
        <f t="shared" ref="T16" si="33">SUM(T17:T19)</f>
        <v>0</v>
      </c>
    </row>
    <row r="17" spans="3:20">
      <c r="C17" s="368"/>
      <c r="D17" s="366" t="s">
        <v>13</v>
      </c>
      <c r="E17" s="369">
        <f t="shared" si="1"/>
        <v>0</v>
      </c>
      <c r="F17" s="374"/>
      <c r="G17" s="374"/>
      <c r="H17" s="374"/>
      <c r="I17" s="374"/>
      <c r="J17" s="374"/>
      <c r="K17" s="369"/>
      <c r="L17" s="369"/>
      <c r="M17" s="369"/>
      <c r="N17" s="369"/>
      <c r="O17" s="369"/>
      <c r="P17" s="369"/>
      <c r="Q17" s="369"/>
      <c r="R17" s="369"/>
      <c r="S17" s="369"/>
      <c r="T17" s="369"/>
    </row>
    <row r="18" spans="3:20">
      <c r="C18" s="368"/>
      <c r="D18" s="366" t="s">
        <v>14</v>
      </c>
      <c r="E18" s="369">
        <f t="shared" si="1"/>
        <v>0</v>
      </c>
      <c r="F18" s="374"/>
      <c r="G18" s="374"/>
      <c r="H18" s="374"/>
      <c r="I18" s="374"/>
      <c r="J18" s="374"/>
      <c r="K18" s="374"/>
      <c r="L18" s="374"/>
      <c r="M18" s="374"/>
      <c r="N18" s="374"/>
      <c r="O18" s="374"/>
      <c r="P18" s="374"/>
      <c r="Q18" s="374"/>
      <c r="R18" s="374"/>
      <c r="S18" s="374"/>
      <c r="T18" s="374"/>
    </row>
    <row r="19" ht="15" spans="3:20">
      <c r="C19" s="370"/>
      <c r="D19" s="366" t="s">
        <v>15</v>
      </c>
      <c r="E19" s="369">
        <f t="shared" si="1"/>
        <v>0</v>
      </c>
      <c r="F19" s="374"/>
      <c r="G19" s="374"/>
      <c r="H19" s="374"/>
      <c r="I19" s="374"/>
      <c r="J19" s="374"/>
      <c r="K19" s="369"/>
      <c r="L19" s="369"/>
      <c r="M19" s="369"/>
      <c r="N19" s="369"/>
      <c r="O19" s="369"/>
      <c r="P19" s="369"/>
      <c r="Q19" s="369"/>
      <c r="R19" s="369"/>
      <c r="S19" s="369"/>
      <c r="T19" s="369"/>
    </row>
    <row r="24" ht="18.75" spans="2:20">
      <c r="B24" s="375"/>
      <c r="C24" s="376" t="s">
        <v>262</v>
      </c>
      <c r="D24" s="376"/>
      <c r="E24" s="376"/>
      <c r="F24" s="376"/>
      <c r="G24" s="376"/>
      <c r="H24" s="376"/>
      <c r="I24" s="376"/>
      <c r="J24" s="376"/>
      <c r="K24" s="376"/>
      <c r="L24" s="376"/>
      <c r="M24" s="376"/>
      <c r="N24" s="376"/>
      <c r="O24" s="376"/>
      <c r="P24" s="376"/>
      <c r="Q24" s="376"/>
      <c r="R24" s="376"/>
      <c r="S24" s="376"/>
      <c r="T24" s="376"/>
    </row>
    <row r="25" ht="38.25" customHeight="1" spans="1:20">
      <c r="A25" s="377"/>
      <c r="B25" s="61"/>
      <c r="C25" s="61" t="s">
        <v>263</v>
      </c>
      <c r="D25" s="61" t="s">
        <v>264</v>
      </c>
      <c r="E25" s="65" t="s">
        <v>70</v>
      </c>
      <c r="F25" s="66" t="s">
        <v>6</v>
      </c>
      <c r="G25" s="66" t="s">
        <v>7</v>
      </c>
      <c r="H25" s="66" t="s">
        <v>8</v>
      </c>
      <c r="I25" s="61" t="s">
        <v>9</v>
      </c>
      <c r="J25" s="61" t="s">
        <v>10</v>
      </c>
      <c r="K25" s="61" t="s">
        <v>235</v>
      </c>
      <c r="L25" s="61" t="s">
        <v>236</v>
      </c>
      <c r="M25" s="61" t="s">
        <v>237</v>
      </c>
      <c r="N25" s="61" t="s">
        <v>238</v>
      </c>
      <c r="O25" s="61" t="s">
        <v>239</v>
      </c>
      <c r="P25" s="61" t="s">
        <v>240</v>
      </c>
      <c r="Q25" s="61" t="s">
        <v>241</v>
      </c>
      <c r="R25" s="61" t="s">
        <v>242</v>
      </c>
      <c r="S25" s="61" t="s">
        <v>243</v>
      </c>
      <c r="T25" s="61" t="s">
        <v>244</v>
      </c>
    </row>
    <row r="26" ht="28.5" spans="1:20">
      <c r="A26" s="377" t="s">
        <v>265</v>
      </c>
      <c r="B26" s="366" t="s">
        <v>4</v>
      </c>
      <c r="C26" s="61"/>
      <c r="D26" s="61"/>
      <c r="E26" s="378">
        <f>SUM(F26:T26)</f>
        <v>15844</v>
      </c>
      <c r="F26" s="66"/>
      <c r="G26" s="66"/>
      <c r="H26" s="66"/>
      <c r="I26" s="66"/>
      <c r="J26" s="66"/>
      <c r="K26" s="392">
        <f>K30+K34+K38+K42</f>
        <v>932</v>
      </c>
      <c r="L26" s="392">
        <f t="shared" ref="L26:T26" si="34">L30+L34+L38+L42</f>
        <v>1118.4</v>
      </c>
      <c r="M26" s="392">
        <f t="shared" si="34"/>
        <v>1304.8</v>
      </c>
      <c r="N26" s="392">
        <f t="shared" si="34"/>
        <v>1491.2</v>
      </c>
      <c r="O26" s="392">
        <f t="shared" si="34"/>
        <v>1677.6</v>
      </c>
      <c r="P26" s="392">
        <f t="shared" si="34"/>
        <v>1864</v>
      </c>
      <c r="Q26" s="392">
        <f t="shared" si="34"/>
        <v>1864</v>
      </c>
      <c r="R26" s="392">
        <f t="shared" si="34"/>
        <v>1864</v>
      </c>
      <c r="S26" s="392">
        <f t="shared" si="34"/>
        <v>1864</v>
      </c>
      <c r="T26" s="392">
        <f t="shared" si="34"/>
        <v>1864</v>
      </c>
    </row>
    <row r="27" spans="1:20">
      <c r="A27" s="379"/>
      <c r="B27" s="366" t="s">
        <v>13</v>
      </c>
      <c r="C27" s="61"/>
      <c r="D27" s="61"/>
      <c r="E27" s="378">
        <f t="shared" ref="E27:E45" si="35">SUM(F27:T27)</f>
        <v>3366</v>
      </c>
      <c r="F27" s="66"/>
      <c r="G27" s="66"/>
      <c r="H27" s="66"/>
      <c r="I27" s="66"/>
      <c r="J27" s="66"/>
      <c r="K27" s="392">
        <f t="shared" ref="K27:T27" si="36">K31+K35+K39+K43</f>
        <v>198</v>
      </c>
      <c r="L27" s="392">
        <f t="shared" si="36"/>
        <v>237.6</v>
      </c>
      <c r="M27" s="392">
        <f t="shared" si="36"/>
        <v>277.2</v>
      </c>
      <c r="N27" s="392">
        <f t="shared" si="36"/>
        <v>316.8</v>
      </c>
      <c r="O27" s="392">
        <f t="shared" si="36"/>
        <v>356.4</v>
      </c>
      <c r="P27" s="392">
        <f t="shared" si="36"/>
        <v>396</v>
      </c>
      <c r="Q27" s="392">
        <f t="shared" si="36"/>
        <v>396</v>
      </c>
      <c r="R27" s="392">
        <f t="shared" si="36"/>
        <v>396</v>
      </c>
      <c r="S27" s="392">
        <f t="shared" si="36"/>
        <v>396</v>
      </c>
      <c r="T27" s="392">
        <f t="shared" si="36"/>
        <v>396</v>
      </c>
    </row>
    <row r="28" spans="1:20">
      <c r="A28" s="380"/>
      <c r="B28" s="366" t="s">
        <v>14</v>
      </c>
      <c r="C28" s="61"/>
      <c r="D28" s="61"/>
      <c r="E28" s="378">
        <f t="shared" si="35"/>
        <v>2686</v>
      </c>
      <c r="F28" s="66"/>
      <c r="G28" s="66"/>
      <c r="H28" s="66"/>
      <c r="I28" s="66"/>
      <c r="J28" s="66"/>
      <c r="K28" s="392">
        <f t="shared" ref="K28:T28" si="37">K32+K36+K40+K44</f>
        <v>158</v>
      </c>
      <c r="L28" s="392">
        <f t="shared" si="37"/>
        <v>189.6</v>
      </c>
      <c r="M28" s="392">
        <f t="shared" si="37"/>
        <v>221.2</v>
      </c>
      <c r="N28" s="392">
        <f t="shared" si="37"/>
        <v>252.8</v>
      </c>
      <c r="O28" s="392">
        <f t="shared" si="37"/>
        <v>284.4</v>
      </c>
      <c r="P28" s="392">
        <f t="shared" si="37"/>
        <v>316</v>
      </c>
      <c r="Q28" s="392">
        <f t="shared" si="37"/>
        <v>316</v>
      </c>
      <c r="R28" s="392">
        <f t="shared" si="37"/>
        <v>316</v>
      </c>
      <c r="S28" s="392">
        <f t="shared" si="37"/>
        <v>316</v>
      </c>
      <c r="T28" s="392">
        <f t="shared" si="37"/>
        <v>316</v>
      </c>
    </row>
    <row r="29" spans="1:20">
      <c r="A29" s="381"/>
      <c r="B29" s="366" t="s">
        <v>15</v>
      </c>
      <c r="C29" s="61"/>
      <c r="D29" s="61"/>
      <c r="E29" s="378">
        <f t="shared" si="35"/>
        <v>9792</v>
      </c>
      <c r="F29" s="66"/>
      <c r="G29" s="66"/>
      <c r="H29" s="66"/>
      <c r="I29" s="66"/>
      <c r="J29" s="66"/>
      <c r="K29" s="392">
        <f t="shared" ref="K29:T29" si="38">K33+K37+K41+K45</f>
        <v>576</v>
      </c>
      <c r="L29" s="392">
        <f t="shared" si="38"/>
        <v>691.2</v>
      </c>
      <c r="M29" s="392">
        <f t="shared" si="38"/>
        <v>806.4</v>
      </c>
      <c r="N29" s="392">
        <f t="shared" si="38"/>
        <v>921.6</v>
      </c>
      <c r="O29" s="392">
        <f t="shared" si="38"/>
        <v>1036.8</v>
      </c>
      <c r="P29" s="392">
        <f t="shared" si="38"/>
        <v>1152</v>
      </c>
      <c r="Q29" s="392">
        <f t="shared" si="38"/>
        <v>1152</v>
      </c>
      <c r="R29" s="392">
        <f t="shared" si="38"/>
        <v>1152</v>
      </c>
      <c r="S29" s="392">
        <f t="shared" si="38"/>
        <v>1152</v>
      </c>
      <c r="T29" s="392">
        <f t="shared" si="38"/>
        <v>1152</v>
      </c>
    </row>
    <row r="30" spans="1:20">
      <c r="A30" s="348" t="s">
        <v>266</v>
      </c>
      <c r="B30" s="366" t="s">
        <v>4</v>
      </c>
      <c r="C30" s="382">
        <f>SUM(C31:C33)</f>
        <v>24</v>
      </c>
      <c r="D30" s="378"/>
      <c r="E30" s="378">
        <f t="shared" si="35"/>
        <v>8160</v>
      </c>
      <c r="F30" s="378"/>
      <c r="G30" s="378"/>
      <c r="H30" s="378"/>
      <c r="I30" s="378"/>
      <c r="J30" s="378"/>
      <c r="K30" s="392">
        <f>SUM(K31:K33)</f>
        <v>480</v>
      </c>
      <c r="L30" s="392">
        <f t="shared" ref="L30:T30" si="39">SUM(L31:L33)</f>
        <v>576</v>
      </c>
      <c r="M30" s="392">
        <f t="shared" si="39"/>
        <v>672</v>
      </c>
      <c r="N30" s="392">
        <f t="shared" si="39"/>
        <v>768</v>
      </c>
      <c r="O30" s="392">
        <f t="shared" si="39"/>
        <v>864</v>
      </c>
      <c r="P30" s="392">
        <f t="shared" si="39"/>
        <v>960</v>
      </c>
      <c r="Q30" s="392">
        <f t="shared" si="39"/>
        <v>960</v>
      </c>
      <c r="R30" s="392">
        <f t="shared" si="39"/>
        <v>960</v>
      </c>
      <c r="S30" s="392">
        <f t="shared" si="39"/>
        <v>960</v>
      </c>
      <c r="T30" s="392">
        <f t="shared" si="39"/>
        <v>960</v>
      </c>
    </row>
    <row r="31" spans="1:20">
      <c r="A31" s="350"/>
      <c r="B31" s="366" t="s">
        <v>13</v>
      </c>
      <c r="C31" s="382">
        <v>3</v>
      </c>
      <c r="D31" s="378">
        <v>40</v>
      </c>
      <c r="E31" s="378">
        <f t="shared" si="35"/>
        <v>1020</v>
      </c>
      <c r="F31" s="378"/>
      <c r="G31" s="378"/>
      <c r="H31" s="378"/>
      <c r="I31" s="378"/>
      <c r="J31" s="378"/>
      <c r="K31" s="392">
        <f>C31*D31*50%</f>
        <v>60</v>
      </c>
      <c r="L31" s="392">
        <f>C31*D31*60%</f>
        <v>72</v>
      </c>
      <c r="M31" s="392">
        <f>C31*D31*70%</f>
        <v>84</v>
      </c>
      <c r="N31" s="392">
        <f>D31*C31*80%</f>
        <v>96</v>
      </c>
      <c r="O31" s="392">
        <f>C31*D31*90%</f>
        <v>108</v>
      </c>
      <c r="P31" s="392">
        <f>C31*D31</f>
        <v>120</v>
      </c>
      <c r="Q31" s="392">
        <f>P31</f>
        <v>120</v>
      </c>
      <c r="R31" s="392">
        <f t="shared" ref="R31:T31" si="40">Q31</f>
        <v>120</v>
      </c>
      <c r="S31" s="392">
        <f t="shared" si="40"/>
        <v>120</v>
      </c>
      <c r="T31" s="392">
        <f t="shared" si="40"/>
        <v>120</v>
      </c>
    </row>
    <row r="32" spans="1:20">
      <c r="A32" s="350"/>
      <c r="B32" s="366" t="s">
        <v>14</v>
      </c>
      <c r="C32" s="382">
        <v>5</v>
      </c>
      <c r="D32" s="378">
        <v>40</v>
      </c>
      <c r="E32" s="378">
        <f t="shared" si="35"/>
        <v>1700</v>
      </c>
      <c r="F32" s="378"/>
      <c r="G32" s="378"/>
      <c r="H32" s="378"/>
      <c r="I32" s="378"/>
      <c r="J32" s="378"/>
      <c r="K32" s="392">
        <f>C32*D32*50%</f>
        <v>100</v>
      </c>
      <c r="L32" s="392">
        <f>C32*D32*60%</f>
        <v>120</v>
      </c>
      <c r="M32" s="392">
        <f>C32*D32*70%</f>
        <v>140</v>
      </c>
      <c r="N32" s="392">
        <f>D32*C32*80%</f>
        <v>160</v>
      </c>
      <c r="O32" s="392">
        <f>C32*D32*90%</f>
        <v>180</v>
      </c>
      <c r="P32" s="392">
        <f>C32*D32</f>
        <v>200</v>
      </c>
      <c r="Q32" s="392">
        <f t="shared" ref="Q32:T32" si="41">P32</f>
        <v>200</v>
      </c>
      <c r="R32" s="392">
        <f t="shared" si="41"/>
        <v>200</v>
      </c>
      <c r="S32" s="392">
        <f t="shared" si="41"/>
        <v>200</v>
      </c>
      <c r="T32" s="392">
        <f t="shared" si="41"/>
        <v>200</v>
      </c>
    </row>
    <row r="33" spans="1:20">
      <c r="A33" s="353"/>
      <c r="B33" s="366" t="s">
        <v>15</v>
      </c>
      <c r="C33" s="382">
        <v>16</v>
      </c>
      <c r="D33" s="378">
        <v>40</v>
      </c>
      <c r="E33" s="378">
        <f t="shared" si="35"/>
        <v>5440</v>
      </c>
      <c r="F33" s="378"/>
      <c r="G33" s="378"/>
      <c r="H33" s="378"/>
      <c r="I33" s="378"/>
      <c r="J33" s="378"/>
      <c r="K33" s="392">
        <f>C33*D33*50%</f>
        <v>320</v>
      </c>
      <c r="L33" s="392">
        <f>C33*D33*60%</f>
        <v>384</v>
      </c>
      <c r="M33" s="392">
        <f>C33*D33*70%</f>
        <v>448</v>
      </c>
      <c r="N33" s="392">
        <f>D33*C33*80%</f>
        <v>512</v>
      </c>
      <c r="O33" s="392">
        <f>C33*D33*90%</f>
        <v>576</v>
      </c>
      <c r="P33" s="392">
        <f>C33*D33</f>
        <v>640</v>
      </c>
      <c r="Q33" s="392">
        <f t="shared" ref="Q33:T33" si="42">P33</f>
        <v>640</v>
      </c>
      <c r="R33" s="392">
        <f t="shared" si="42"/>
        <v>640</v>
      </c>
      <c r="S33" s="392">
        <f t="shared" si="42"/>
        <v>640</v>
      </c>
      <c r="T33" s="392">
        <f t="shared" si="42"/>
        <v>640</v>
      </c>
    </row>
    <row r="34" spans="1:20">
      <c r="A34" s="348" t="s">
        <v>267</v>
      </c>
      <c r="B34" s="366" t="s">
        <v>4</v>
      </c>
      <c r="C34" s="382">
        <f>SUM(C35:C37)</f>
        <v>26</v>
      </c>
      <c r="D34" s="378"/>
      <c r="E34" s="378">
        <f t="shared" si="35"/>
        <v>4420</v>
      </c>
      <c r="F34" s="378"/>
      <c r="G34" s="378"/>
      <c r="H34" s="378"/>
      <c r="I34" s="378"/>
      <c r="J34" s="378"/>
      <c r="K34" s="392">
        <f>SUM(K35:K37)</f>
        <v>260</v>
      </c>
      <c r="L34" s="392">
        <f t="shared" ref="L34" si="43">SUM(L35:L37)</f>
        <v>312</v>
      </c>
      <c r="M34" s="392">
        <f t="shared" ref="M34" si="44">SUM(M35:M37)</f>
        <v>364</v>
      </c>
      <c r="N34" s="392">
        <f t="shared" ref="N34" si="45">SUM(N35:N37)</f>
        <v>416</v>
      </c>
      <c r="O34" s="392">
        <f t="shared" ref="O34" si="46">SUM(O35:O37)</f>
        <v>468</v>
      </c>
      <c r="P34" s="392">
        <f t="shared" ref="P34" si="47">SUM(P35:P37)</f>
        <v>520</v>
      </c>
      <c r="Q34" s="392">
        <f t="shared" ref="Q34" si="48">SUM(Q35:Q37)</f>
        <v>520</v>
      </c>
      <c r="R34" s="392">
        <f t="shared" ref="R34" si="49">SUM(R35:R37)</f>
        <v>520</v>
      </c>
      <c r="S34" s="392">
        <f t="shared" ref="S34" si="50">SUM(S35:S37)</f>
        <v>520</v>
      </c>
      <c r="T34" s="392">
        <f t="shared" ref="T34" si="51">SUM(T35:T37)</f>
        <v>520</v>
      </c>
    </row>
    <row r="35" spans="1:20">
      <c r="A35" s="350"/>
      <c r="B35" s="366" t="s">
        <v>13</v>
      </c>
      <c r="C35" s="382">
        <v>3</v>
      </c>
      <c r="D35" s="383">
        <v>20</v>
      </c>
      <c r="E35" s="378">
        <f t="shared" si="35"/>
        <v>510</v>
      </c>
      <c r="F35" s="378"/>
      <c r="G35" s="378"/>
      <c r="H35" s="378"/>
      <c r="I35" s="378"/>
      <c r="J35" s="378"/>
      <c r="K35" s="392">
        <f>C35*D35*50%</f>
        <v>30</v>
      </c>
      <c r="L35" s="392">
        <f>C35*D35*60%</f>
        <v>36</v>
      </c>
      <c r="M35" s="392">
        <f>C35*D35*70%</f>
        <v>42</v>
      </c>
      <c r="N35" s="392">
        <f>D35*C35*80%</f>
        <v>48</v>
      </c>
      <c r="O35" s="392">
        <f>C35*D35*90%</f>
        <v>54</v>
      </c>
      <c r="P35" s="392">
        <f>C35*D35</f>
        <v>60</v>
      </c>
      <c r="Q35" s="392">
        <f>P35</f>
        <v>60</v>
      </c>
      <c r="R35" s="392">
        <f t="shared" ref="R35:T35" si="52">Q35</f>
        <v>60</v>
      </c>
      <c r="S35" s="392">
        <f t="shared" si="52"/>
        <v>60</v>
      </c>
      <c r="T35" s="392">
        <f t="shared" si="52"/>
        <v>60</v>
      </c>
    </row>
    <row r="36" spans="1:20">
      <c r="A36" s="350"/>
      <c r="B36" s="366" t="s">
        <v>14</v>
      </c>
      <c r="C36" s="382">
        <v>3</v>
      </c>
      <c r="D36" s="383">
        <v>20</v>
      </c>
      <c r="E36" s="378">
        <f t="shared" si="35"/>
        <v>510</v>
      </c>
      <c r="F36" s="378"/>
      <c r="G36" s="378"/>
      <c r="H36" s="378"/>
      <c r="I36" s="378"/>
      <c r="J36" s="378"/>
      <c r="K36" s="392">
        <f>C36*D36*50%</f>
        <v>30</v>
      </c>
      <c r="L36" s="392">
        <f>C36*D36*60%</f>
        <v>36</v>
      </c>
      <c r="M36" s="392">
        <f>C36*D36*70%</f>
        <v>42</v>
      </c>
      <c r="N36" s="392">
        <f>D36*C36*80%</f>
        <v>48</v>
      </c>
      <c r="O36" s="392">
        <f>C36*D36*90%</f>
        <v>54</v>
      </c>
      <c r="P36" s="392">
        <f>C36*D36</f>
        <v>60</v>
      </c>
      <c r="Q36" s="392">
        <f t="shared" ref="Q36:T36" si="53">P36</f>
        <v>60</v>
      </c>
      <c r="R36" s="392">
        <f t="shared" si="53"/>
        <v>60</v>
      </c>
      <c r="S36" s="392">
        <f t="shared" si="53"/>
        <v>60</v>
      </c>
      <c r="T36" s="392">
        <f t="shared" si="53"/>
        <v>60</v>
      </c>
    </row>
    <row r="37" spans="1:20">
      <c r="A37" s="353"/>
      <c r="B37" s="366" t="s">
        <v>15</v>
      </c>
      <c r="C37" s="382">
        <v>20</v>
      </c>
      <c r="D37" s="383">
        <v>20</v>
      </c>
      <c r="E37" s="378">
        <f t="shared" si="35"/>
        <v>3400</v>
      </c>
      <c r="F37" s="378"/>
      <c r="G37" s="378"/>
      <c r="H37" s="378"/>
      <c r="I37" s="378"/>
      <c r="J37" s="378"/>
      <c r="K37" s="392">
        <f>C37*D37*50%</f>
        <v>200</v>
      </c>
      <c r="L37" s="392">
        <f>C37*D37*60%</f>
        <v>240</v>
      </c>
      <c r="M37" s="392">
        <f>C37*D37*70%</f>
        <v>280</v>
      </c>
      <c r="N37" s="392">
        <f>D37*C37*80%</f>
        <v>320</v>
      </c>
      <c r="O37" s="392">
        <f>C37*D37*90%</f>
        <v>360</v>
      </c>
      <c r="P37" s="392">
        <f>C37*D37</f>
        <v>400</v>
      </c>
      <c r="Q37" s="392">
        <f t="shared" ref="Q37:T37" si="54">P37</f>
        <v>400</v>
      </c>
      <c r="R37" s="392">
        <f t="shared" si="54"/>
        <v>400</v>
      </c>
      <c r="S37" s="392">
        <f t="shared" si="54"/>
        <v>400</v>
      </c>
      <c r="T37" s="392">
        <f t="shared" si="54"/>
        <v>400</v>
      </c>
    </row>
    <row r="38" spans="1:20">
      <c r="A38" s="348" t="s">
        <v>268</v>
      </c>
      <c r="B38" s="366" t="s">
        <v>4</v>
      </c>
      <c r="C38" s="382">
        <f>SUM(C39:C41)</f>
        <v>4</v>
      </c>
      <c r="D38" s="378"/>
      <c r="E38" s="378">
        <f t="shared" si="35"/>
        <v>1360</v>
      </c>
      <c r="F38" s="378"/>
      <c r="G38" s="378"/>
      <c r="H38" s="378"/>
      <c r="I38" s="378"/>
      <c r="J38" s="378"/>
      <c r="K38" s="392">
        <f>SUM(K39:K41)</f>
        <v>80</v>
      </c>
      <c r="L38" s="392">
        <f t="shared" ref="L38" si="55">SUM(L39:L41)</f>
        <v>96</v>
      </c>
      <c r="M38" s="392">
        <f t="shared" ref="M38" si="56">SUM(M39:M41)</f>
        <v>112</v>
      </c>
      <c r="N38" s="392">
        <f t="shared" ref="N38" si="57">SUM(N39:N41)</f>
        <v>128</v>
      </c>
      <c r="O38" s="392">
        <f t="shared" ref="O38" si="58">SUM(O39:O41)</f>
        <v>144</v>
      </c>
      <c r="P38" s="392">
        <f t="shared" ref="P38" si="59">SUM(P39:P41)</f>
        <v>160</v>
      </c>
      <c r="Q38" s="392">
        <f t="shared" ref="Q38" si="60">SUM(Q39:Q41)</f>
        <v>160</v>
      </c>
      <c r="R38" s="392">
        <f t="shared" ref="R38" si="61">SUM(R39:R41)</f>
        <v>160</v>
      </c>
      <c r="S38" s="392">
        <f t="shared" ref="S38" si="62">SUM(S39:S41)</f>
        <v>160</v>
      </c>
      <c r="T38" s="392">
        <f t="shared" ref="T38" si="63">SUM(T39:T41)</f>
        <v>160</v>
      </c>
    </row>
    <row r="39" spans="1:20">
      <c r="A39" s="350"/>
      <c r="B39" s="366" t="s">
        <v>13</v>
      </c>
      <c r="C39" s="382">
        <v>4</v>
      </c>
      <c r="D39" s="383">
        <v>40</v>
      </c>
      <c r="E39" s="378">
        <f t="shared" si="35"/>
        <v>1360</v>
      </c>
      <c r="F39" s="378"/>
      <c r="G39" s="378"/>
      <c r="H39" s="378"/>
      <c r="I39" s="378"/>
      <c r="J39" s="378"/>
      <c r="K39" s="392">
        <f>C39*D39*50%</f>
        <v>80</v>
      </c>
      <c r="L39" s="392">
        <f>C39*D39*60%</f>
        <v>96</v>
      </c>
      <c r="M39" s="392">
        <f>C39*D39*70%</f>
        <v>112</v>
      </c>
      <c r="N39" s="392">
        <f>D39*C39*80%</f>
        <v>128</v>
      </c>
      <c r="O39" s="392">
        <f>C39*D39*90%</f>
        <v>144</v>
      </c>
      <c r="P39" s="392">
        <f>C39*D39</f>
        <v>160</v>
      </c>
      <c r="Q39" s="392">
        <f>P39</f>
        <v>160</v>
      </c>
      <c r="R39" s="392">
        <f t="shared" ref="R39:T39" si="64">Q39</f>
        <v>160</v>
      </c>
      <c r="S39" s="392">
        <f t="shared" si="64"/>
        <v>160</v>
      </c>
      <c r="T39" s="392">
        <f t="shared" si="64"/>
        <v>160</v>
      </c>
    </row>
    <row r="40" spans="1:20">
      <c r="A40" s="350"/>
      <c r="B40" s="366" t="s">
        <v>14</v>
      </c>
      <c r="C40" s="382">
        <v>0</v>
      </c>
      <c r="D40" s="383">
        <v>40</v>
      </c>
      <c r="E40" s="378">
        <f t="shared" si="35"/>
        <v>0</v>
      </c>
      <c r="F40" s="378"/>
      <c r="G40" s="378"/>
      <c r="H40" s="378"/>
      <c r="I40" s="378"/>
      <c r="J40" s="378"/>
      <c r="K40" s="392">
        <f>C40*D40*50%</f>
        <v>0</v>
      </c>
      <c r="L40" s="392">
        <f>C40*D40*60%</f>
        <v>0</v>
      </c>
      <c r="M40" s="392">
        <f>C40*D40*70%</f>
        <v>0</v>
      </c>
      <c r="N40" s="392">
        <f>D40*C40*80%</f>
        <v>0</v>
      </c>
      <c r="O40" s="392">
        <f>C40*D40*90%</f>
        <v>0</v>
      </c>
      <c r="P40" s="392">
        <f>C40*D40</f>
        <v>0</v>
      </c>
      <c r="Q40" s="392">
        <f t="shared" ref="Q40:T40" si="65">P40</f>
        <v>0</v>
      </c>
      <c r="R40" s="392">
        <f t="shared" si="65"/>
        <v>0</v>
      </c>
      <c r="S40" s="392">
        <f t="shared" si="65"/>
        <v>0</v>
      </c>
      <c r="T40" s="392">
        <f t="shared" si="65"/>
        <v>0</v>
      </c>
    </row>
    <row r="41" spans="1:20">
      <c r="A41" s="353"/>
      <c r="B41" s="366" t="s">
        <v>15</v>
      </c>
      <c r="C41" s="382">
        <v>0</v>
      </c>
      <c r="D41" s="383">
        <v>40</v>
      </c>
      <c r="E41" s="378">
        <f t="shared" si="35"/>
        <v>0</v>
      </c>
      <c r="F41" s="378"/>
      <c r="G41" s="378"/>
      <c r="H41" s="378"/>
      <c r="I41" s="378"/>
      <c r="J41" s="378"/>
      <c r="K41" s="392">
        <f>C41*D41*50%</f>
        <v>0</v>
      </c>
      <c r="L41" s="392">
        <f>C41*D41*60%</f>
        <v>0</v>
      </c>
      <c r="M41" s="392">
        <f>C41*D41*70%</f>
        <v>0</v>
      </c>
      <c r="N41" s="392">
        <f>D41*C41*80%</f>
        <v>0</v>
      </c>
      <c r="O41" s="392">
        <f>C41*D41*90%</f>
        <v>0</v>
      </c>
      <c r="P41" s="392">
        <f>C41*D41</f>
        <v>0</v>
      </c>
      <c r="Q41" s="392">
        <f t="shared" ref="Q41:T41" si="66">P41</f>
        <v>0</v>
      </c>
      <c r="R41" s="392">
        <f t="shared" si="66"/>
        <v>0</v>
      </c>
      <c r="S41" s="392">
        <f t="shared" si="66"/>
        <v>0</v>
      </c>
      <c r="T41" s="392">
        <f t="shared" si="66"/>
        <v>0</v>
      </c>
    </row>
    <row r="42" spans="1:20">
      <c r="A42" s="384" t="s">
        <v>269</v>
      </c>
      <c r="B42" s="366" t="s">
        <v>4</v>
      </c>
      <c r="C42" s="382">
        <f>SUM(C43:C45)</f>
        <v>8</v>
      </c>
      <c r="D42" s="378"/>
      <c r="E42" s="378">
        <f t="shared" si="35"/>
        <v>1904</v>
      </c>
      <c r="F42" s="378"/>
      <c r="G42" s="378"/>
      <c r="H42" s="378"/>
      <c r="I42" s="378"/>
      <c r="J42" s="378"/>
      <c r="K42" s="392">
        <f>SUM(K43:K45)</f>
        <v>112</v>
      </c>
      <c r="L42" s="392">
        <f t="shared" ref="L42" si="67">SUM(L43:L45)</f>
        <v>134.4</v>
      </c>
      <c r="M42" s="392">
        <f t="shared" ref="M42" si="68">SUM(M43:M45)</f>
        <v>156.8</v>
      </c>
      <c r="N42" s="392">
        <f t="shared" ref="N42" si="69">SUM(N43:N45)</f>
        <v>179.2</v>
      </c>
      <c r="O42" s="392">
        <f t="shared" ref="O42" si="70">SUM(O43:O45)</f>
        <v>201.6</v>
      </c>
      <c r="P42" s="392">
        <f t="shared" ref="P42" si="71">SUM(P43:P45)</f>
        <v>224</v>
      </c>
      <c r="Q42" s="392">
        <f t="shared" ref="Q42:R42" si="72">SUM(Q43:Q45)</f>
        <v>224</v>
      </c>
      <c r="R42" s="392">
        <f t="shared" si="72"/>
        <v>224</v>
      </c>
      <c r="S42" s="392">
        <f t="shared" ref="S42" si="73">SUM(S43:S45)</f>
        <v>224</v>
      </c>
      <c r="T42" s="392">
        <f t="shared" ref="T42" si="74">SUM(T43:T45)</f>
        <v>224</v>
      </c>
    </row>
    <row r="43" spans="1:20">
      <c r="A43" s="385"/>
      <c r="B43" s="366" t="s">
        <v>13</v>
      </c>
      <c r="C43" s="382">
        <v>2</v>
      </c>
      <c r="D43" s="383">
        <v>28</v>
      </c>
      <c r="E43" s="378">
        <f t="shared" si="35"/>
        <v>476</v>
      </c>
      <c r="F43" s="378"/>
      <c r="G43" s="378"/>
      <c r="H43" s="378"/>
      <c r="I43" s="378"/>
      <c r="J43" s="378"/>
      <c r="K43" s="392">
        <f>C43*D43*50%</f>
        <v>28</v>
      </c>
      <c r="L43" s="392">
        <f>C43*D43*60%</f>
        <v>33.6</v>
      </c>
      <c r="M43" s="392">
        <f>C43*D43*70%</f>
        <v>39.2</v>
      </c>
      <c r="N43" s="392">
        <f>D43*C43*80%</f>
        <v>44.8</v>
      </c>
      <c r="O43" s="392">
        <f>C43*D43*90%</f>
        <v>50.4</v>
      </c>
      <c r="P43" s="392">
        <f>C43*D43</f>
        <v>56</v>
      </c>
      <c r="Q43" s="392">
        <f>P43</f>
        <v>56</v>
      </c>
      <c r="R43" s="392">
        <f t="shared" ref="R43:T43" si="75">Q43</f>
        <v>56</v>
      </c>
      <c r="S43" s="392">
        <f t="shared" si="75"/>
        <v>56</v>
      </c>
      <c r="T43" s="392">
        <f t="shared" si="75"/>
        <v>56</v>
      </c>
    </row>
    <row r="44" spans="1:20">
      <c r="A44" s="385"/>
      <c r="B44" s="366" t="s">
        <v>14</v>
      </c>
      <c r="C44" s="382">
        <v>2</v>
      </c>
      <c r="D44" s="383">
        <v>28</v>
      </c>
      <c r="E44" s="378">
        <f t="shared" si="35"/>
        <v>476</v>
      </c>
      <c r="F44" s="378"/>
      <c r="G44" s="378"/>
      <c r="H44" s="378"/>
      <c r="I44" s="378"/>
      <c r="J44" s="378"/>
      <c r="K44" s="392">
        <f>C44*D44*50%</f>
        <v>28</v>
      </c>
      <c r="L44" s="392">
        <f>C44*D44*60%</f>
        <v>33.6</v>
      </c>
      <c r="M44" s="392">
        <f>C44*D44*70%</f>
        <v>39.2</v>
      </c>
      <c r="N44" s="392">
        <f>D44*C44*80%</f>
        <v>44.8</v>
      </c>
      <c r="O44" s="392">
        <f>C44*D44*90%</f>
        <v>50.4</v>
      </c>
      <c r="P44" s="392">
        <f>C44*D44</f>
        <v>56</v>
      </c>
      <c r="Q44" s="392">
        <f t="shared" ref="Q44:T44" si="76">P44</f>
        <v>56</v>
      </c>
      <c r="R44" s="392">
        <f t="shared" si="76"/>
        <v>56</v>
      </c>
      <c r="S44" s="392">
        <f t="shared" si="76"/>
        <v>56</v>
      </c>
      <c r="T44" s="392">
        <f t="shared" si="76"/>
        <v>56</v>
      </c>
    </row>
    <row r="45" spans="1:20">
      <c r="A45" s="386"/>
      <c r="B45" s="366" t="s">
        <v>15</v>
      </c>
      <c r="C45" s="382">
        <v>4</v>
      </c>
      <c r="D45" s="383">
        <v>28</v>
      </c>
      <c r="E45" s="378">
        <f t="shared" si="35"/>
        <v>952</v>
      </c>
      <c r="F45" s="378"/>
      <c r="G45" s="378"/>
      <c r="H45" s="378"/>
      <c r="I45" s="378"/>
      <c r="J45" s="378"/>
      <c r="K45" s="392">
        <f>C45*D45*50%</f>
        <v>56</v>
      </c>
      <c r="L45" s="392">
        <f>C45*D45*60%</f>
        <v>67.2</v>
      </c>
      <c r="M45" s="392">
        <f>C45*D45*70%</f>
        <v>78.4</v>
      </c>
      <c r="N45" s="392">
        <f>D45*C45*80%</f>
        <v>89.6</v>
      </c>
      <c r="O45" s="392">
        <f>C45*D45*90%</f>
        <v>100.8</v>
      </c>
      <c r="P45" s="392">
        <f>C45*D45</f>
        <v>112</v>
      </c>
      <c r="Q45" s="392">
        <f t="shared" ref="Q45:T45" si="77">P45</f>
        <v>112</v>
      </c>
      <c r="R45" s="392">
        <f t="shared" si="77"/>
        <v>112</v>
      </c>
      <c r="S45" s="392">
        <f t="shared" si="77"/>
        <v>112</v>
      </c>
      <c r="T45" s="392">
        <f t="shared" si="77"/>
        <v>112</v>
      </c>
    </row>
    <row r="46" spans="2:2">
      <c r="B46" t="s">
        <v>270</v>
      </c>
    </row>
    <row r="48" ht="19.5" spans="2:19">
      <c r="B48" s="387" t="s">
        <v>271</v>
      </c>
      <c r="C48" s="387"/>
      <c r="D48" s="387"/>
      <c r="E48" s="387"/>
      <c r="F48" s="387"/>
      <c r="G48" s="387"/>
      <c r="H48" s="387"/>
      <c r="I48" s="387"/>
      <c r="J48" s="387"/>
      <c r="K48" s="387"/>
      <c r="L48" s="387"/>
      <c r="M48" s="387"/>
      <c r="N48" s="387"/>
      <c r="O48" s="387"/>
      <c r="P48" s="387"/>
      <c r="Q48" s="387"/>
      <c r="R48" s="387"/>
      <c r="S48" s="387"/>
    </row>
    <row r="49" spans="3:20">
      <c r="C49" s="378"/>
      <c r="D49" s="378"/>
      <c r="E49" s="378"/>
      <c r="F49" s="66" t="s">
        <v>6</v>
      </c>
      <c r="G49" s="66" t="s">
        <v>7</v>
      </c>
      <c r="H49" s="66" t="s">
        <v>8</v>
      </c>
      <c r="I49" s="61" t="s">
        <v>9</v>
      </c>
      <c r="J49" s="61" t="s">
        <v>10</v>
      </c>
      <c r="K49" s="61" t="s">
        <v>235</v>
      </c>
      <c r="L49" s="61" t="s">
        <v>236</v>
      </c>
      <c r="M49" s="61" t="s">
        <v>237</v>
      </c>
      <c r="N49" s="61" t="s">
        <v>238</v>
      </c>
      <c r="O49" s="61" t="s">
        <v>239</v>
      </c>
      <c r="P49" s="61" t="s">
        <v>240</v>
      </c>
      <c r="Q49" s="61" t="s">
        <v>241</v>
      </c>
      <c r="R49" s="61" t="s">
        <v>242</v>
      </c>
      <c r="S49" s="61" t="s">
        <v>243</v>
      </c>
      <c r="T49" s="61" t="s">
        <v>244</v>
      </c>
    </row>
    <row r="50" spans="3:20">
      <c r="C50" s="378"/>
      <c r="D50" s="366" t="s">
        <v>272</v>
      </c>
      <c r="E50" s="366" t="s">
        <v>4</v>
      </c>
      <c r="F50" s="378"/>
      <c r="G50" s="378"/>
      <c r="H50" s="378"/>
      <c r="I50" s="378"/>
      <c r="J50" s="378"/>
      <c r="K50" s="378">
        <v>3</v>
      </c>
      <c r="L50" s="378">
        <v>3</v>
      </c>
      <c r="M50" s="378">
        <v>4</v>
      </c>
      <c r="N50" s="378">
        <v>4</v>
      </c>
      <c r="O50" s="378">
        <v>5</v>
      </c>
      <c r="P50" s="378">
        <v>5</v>
      </c>
      <c r="Q50" s="378">
        <v>6</v>
      </c>
      <c r="R50" s="378">
        <v>6</v>
      </c>
      <c r="S50" s="378">
        <v>7</v>
      </c>
      <c r="T50" s="378">
        <v>7</v>
      </c>
    </row>
    <row r="51" spans="3:20">
      <c r="C51" s="366" t="s">
        <v>4</v>
      </c>
      <c r="D51" s="374">
        <f>SUM(D52:D54)</f>
        <v>207748.6</v>
      </c>
      <c r="E51" s="374">
        <f>SUM(F51:T51)</f>
        <v>12464.916</v>
      </c>
      <c r="F51" s="378"/>
      <c r="G51" s="378"/>
      <c r="H51" s="378"/>
      <c r="I51" s="378"/>
      <c r="J51" s="378"/>
      <c r="K51" s="374">
        <f>SUM(K52:K54)</f>
        <v>747.89496</v>
      </c>
      <c r="L51" s="374">
        <f t="shared" ref="L51:T51" si="78">SUM(L52:L54)</f>
        <v>747.89496</v>
      </c>
      <c r="M51" s="374">
        <f t="shared" si="78"/>
        <v>997.19328</v>
      </c>
      <c r="N51" s="374">
        <f t="shared" si="78"/>
        <v>997.19328</v>
      </c>
      <c r="O51" s="374">
        <f t="shared" si="78"/>
        <v>1246.4916</v>
      </c>
      <c r="P51" s="374">
        <f t="shared" si="78"/>
        <v>1246.4916</v>
      </c>
      <c r="Q51" s="374">
        <f t="shared" si="78"/>
        <v>1495.78992</v>
      </c>
      <c r="R51" s="374">
        <f t="shared" si="78"/>
        <v>1495.78992</v>
      </c>
      <c r="S51" s="374">
        <f t="shared" si="78"/>
        <v>1745.08824</v>
      </c>
      <c r="T51" s="374">
        <f t="shared" si="78"/>
        <v>1745.08824</v>
      </c>
    </row>
    <row r="52" spans="3:20">
      <c r="C52" s="366" t="s">
        <v>13</v>
      </c>
      <c r="D52" s="374">
        <f>H59</f>
        <v>23579</v>
      </c>
      <c r="E52" s="374">
        <f t="shared" ref="E52:E54" si="79">SUM(F52:T52)</f>
        <v>1414.74</v>
      </c>
      <c r="F52" s="378"/>
      <c r="G52" s="378"/>
      <c r="H52" s="378"/>
      <c r="I52" s="378"/>
      <c r="J52" s="378"/>
      <c r="K52" s="374">
        <f>$D$52*K50*12/10000</f>
        <v>84.8844</v>
      </c>
      <c r="L52" s="374">
        <f t="shared" ref="L52:T52" si="80">$D$52*L50*12/10000</f>
        <v>84.8844</v>
      </c>
      <c r="M52" s="374">
        <f t="shared" si="80"/>
        <v>113.1792</v>
      </c>
      <c r="N52" s="374">
        <f t="shared" si="80"/>
        <v>113.1792</v>
      </c>
      <c r="O52" s="374">
        <f t="shared" si="80"/>
        <v>141.474</v>
      </c>
      <c r="P52" s="374">
        <f t="shared" si="80"/>
        <v>141.474</v>
      </c>
      <c r="Q52" s="374">
        <f t="shared" si="80"/>
        <v>169.7688</v>
      </c>
      <c r="R52" s="374">
        <f t="shared" si="80"/>
        <v>169.7688</v>
      </c>
      <c r="S52" s="374">
        <f t="shared" si="80"/>
        <v>198.0636</v>
      </c>
      <c r="T52" s="374">
        <f t="shared" si="80"/>
        <v>198.0636</v>
      </c>
    </row>
    <row r="53" spans="3:20">
      <c r="C53" s="366" t="s">
        <v>14</v>
      </c>
      <c r="D53" s="374">
        <f>H60</f>
        <v>48098.6</v>
      </c>
      <c r="E53" s="374">
        <f t="shared" si="79"/>
        <v>2885.916</v>
      </c>
      <c r="F53" s="378"/>
      <c r="G53" s="378"/>
      <c r="H53" s="378"/>
      <c r="I53" s="378"/>
      <c r="J53" s="378"/>
      <c r="K53" s="374">
        <f>$D$53*K50*12/10000</f>
        <v>173.15496</v>
      </c>
      <c r="L53" s="374">
        <f t="shared" ref="L53:T53" si="81">$D$53*L50*12/10000</f>
        <v>173.15496</v>
      </c>
      <c r="M53" s="374">
        <f t="shared" si="81"/>
        <v>230.87328</v>
      </c>
      <c r="N53" s="374">
        <f t="shared" si="81"/>
        <v>230.87328</v>
      </c>
      <c r="O53" s="374">
        <f t="shared" si="81"/>
        <v>288.5916</v>
      </c>
      <c r="P53" s="374">
        <f t="shared" si="81"/>
        <v>288.5916</v>
      </c>
      <c r="Q53" s="374">
        <f t="shared" si="81"/>
        <v>346.30992</v>
      </c>
      <c r="R53" s="374">
        <f t="shared" si="81"/>
        <v>346.30992</v>
      </c>
      <c r="S53" s="374">
        <f t="shared" si="81"/>
        <v>404.02824</v>
      </c>
      <c r="T53" s="374">
        <f t="shared" si="81"/>
        <v>404.02824</v>
      </c>
    </row>
    <row r="54" spans="3:20">
      <c r="C54" s="366" t="s">
        <v>15</v>
      </c>
      <c r="D54" s="374">
        <f t="shared" ref="D54" si="82">H61</f>
        <v>136071</v>
      </c>
      <c r="E54" s="374">
        <f t="shared" si="79"/>
        <v>8164.26</v>
      </c>
      <c r="F54" s="378"/>
      <c r="G54" s="378"/>
      <c r="H54" s="378"/>
      <c r="I54" s="378"/>
      <c r="J54" s="378"/>
      <c r="K54" s="374">
        <f>$D$54*K50*12/10000</f>
        <v>489.8556</v>
      </c>
      <c r="L54" s="374">
        <f t="shared" ref="L54:T54" si="83">$D$54*L50*12/10000</f>
        <v>489.8556</v>
      </c>
      <c r="M54" s="374">
        <f t="shared" si="83"/>
        <v>653.1408</v>
      </c>
      <c r="N54" s="374">
        <f t="shared" si="83"/>
        <v>653.1408</v>
      </c>
      <c r="O54" s="374">
        <f t="shared" si="83"/>
        <v>816.426</v>
      </c>
      <c r="P54" s="374">
        <f t="shared" si="83"/>
        <v>816.426</v>
      </c>
      <c r="Q54" s="374">
        <f t="shared" si="83"/>
        <v>979.7112</v>
      </c>
      <c r="R54" s="374">
        <f t="shared" si="83"/>
        <v>979.7112</v>
      </c>
      <c r="S54" s="374">
        <f t="shared" si="83"/>
        <v>1142.9964</v>
      </c>
      <c r="T54" s="374">
        <f t="shared" si="83"/>
        <v>1142.9964</v>
      </c>
    </row>
    <row r="55" spans="3:3">
      <c r="C55" s="388" t="s">
        <v>273</v>
      </c>
    </row>
    <row r="57" s="361" customFormat="1" ht="28.5" spans="3:8">
      <c r="C57" s="389"/>
      <c r="D57" s="389" t="s">
        <v>274</v>
      </c>
      <c r="E57" s="390" t="s">
        <v>275</v>
      </c>
      <c r="F57" s="389" t="s">
        <v>276</v>
      </c>
      <c r="G57" s="390" t="s">
        <v>277</v>
      </c>
      <c r="H57" s="389" t="s">
        <v>278</v>
      </c>
    </row>
    <row r="58" spans="3:8">
      <c r="C58" s="378" t="s">
        <v>4</v>
      </c>
      <c r="D58" s="212">
        <v>328781</v>
      </c>
      <c r="E58" s="212">
        <f>SUM(E59:E61)</f>
        <v>197268.6</v>
      </c>
      <c r="F58" s="212">
        <f>SUM(F59:F61)</f>
        <v>26200</v>
      </c>
      <c r="G58" s="212">
        <f>SUM(G59:G61)</f>
        <v>10480</v>
      </c>
      <c r="H58" s="212">
        <f>SUM(H59:H61)</f>
        <v>207748.6</v>
      </c>
    </row>
    <row r="59" spans="3:8">
      <c r="C59" s="378" t="s">
        <v>13</v>
      </c>
      <c r="D59" s="212">
        <v>36487</v>
      </c>
      <c r="E59" s="212">
        <f>D59*0.6</f>
        <v>21892.2</v>
      </c>
      <c r="F59" s="212">
        <v>4217</v>
      </c>
      <c r="G59" s="212">
        <f>F59*0.4</f>
        <v>1686.8</v>
      </c>
      <c r="H59" s="212">
        <f>E59+G59</f>
        <v>23579</v>
      </c>
    </row>
    <row r="60" spans="3:8">
      <c r="C60" s="378" t="s">
        <v>14</v>
      </c>
      <c r="D60" s="212">
        <v>71437</v>
      </c>
      <c r="E60" s="212">
        <f>D60*0.6</f>
        <v>42862.2</v>
      </c>
      <c r="F60" s="212">
        <v>13091</v>
      </c>
      <c r="G60" s="212">
        <f>F60*0.4</f>
        <v>5236.4</v>
      </c>
      <c r="H60" s="212">
        <f t="shared" ref="H60:H61" si="84">E60+G60</f>
        <v>48098.6</v>
      </c>
    </row>
    <row r="61" spans="3:8">
      <c r="C61" s="378" t="s">
        <v>15</v>
      </c>
      <c r="D61" s="212">
        <v>220857</v>
      </c>
      <c r="E61" s="212">
        <f>D61*0.6</f>
        <v>132514.2</v>
      </c>
      <c r="F61" s="212">
        <v>8892</v>
      </c>
      <c r="G61" s="212">
        <f>F61*0.4</f>
        <v>3556.8</v>
      </c>
      <c r="H61" s="212">
        <f t="shared" si="84"/>
        <v>136071</v>
      </c>
    </row>
  </sheetData>
  <mergeCells count="12">
    <mergeCell ref="C1:T1"/>
    <mergeCell ref="C24:T24"/>
    <mergeCell ref="B48:S48"/>
    <mergeCell ref="A27:A29"/>
    <mergeCell ref="A30:A33"/>
    <mergeCell ref="A34:A37"/>
    <mergeCell ref="A38:A41"/>
    <mergeCell ref="A42:A45"/>
    <mergeCell ref="C4:C7"/>
    <mergeCell ref="C8:C11"/>
    <mergeCell ref="C12:C15"/>
    <mergeCell ref="C16:C19"/>
  </mergeCells>
  <pageMargins left="0.590277777777778" right="0.306944444444444" top="0.751388888888889" bottom="0.751388888888889" header="0.298611111111111" footer="0.298611111111111"/>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Company>***</Company>
  <Application>Microsoft Excel</Application>
  <HeadingPairs>
    <vt:vector size="2" baseType="variant">
      <vt:variant>
        <vt:lpstr>工作表</vt:lpstr>
      </vt:variant>
      <vt:variant>
        <vt:i4>17</vt:i4>
      </vt:variant>
    </vt:vector>
  </HeadingPairs>
  <TitlesOfParts>
    <vt:vector size="17" baseType="lpstr">
      <vt:lpstr>项目投资与资金筹措计划表 (3)</vt:lpstr>
      <vt:lpstr>项目投资与资金筹措计划表 (2)</vt:lpstr>
      <vt:lpstr>PSC值 (2)</vt:lpstr>
      <vt:lpstr>PPP值 (2)</vt:lpstr>
      <vt:lpstr>项目建设投资估算表 </vt:lpstr>
      <vt:lpstr>项目总投资估算表</vt:lpstr>
      <vt:lpstr>项目投资与资金筹措计划表</vt:lpstr>
      <vt:lpstr>运维成本费用估算表</vt:lpstr>
      <vt:lpstr>使用者付费</vt:lpstr>
      <vt:lpstr>建设期支付利息还本付息计划表  </vt:lpstr>
      <vt:lpstr>建设期付息政府付费用估算表 </vt:lpstr>
      <vt:lpstr>项目公司利润与利润分配表</vt:lpstr>
      <vt:lpstr>项目投资现金流量表</vt:lpstr>
      <vt:lpstr>项目资本金现金流量表 </vt:lpstr>
      <vt:lpstr>建安工程费用明细表</vt:lpstr>
      <vt:lpstr>运维面积统计</vt:lpstr>
      <vt:lpstr>土地征用及迁移补偿费明细表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zjj</cp:lastModifiedBy>
  <dcterms:created xsi:type="dcterms:W3CDTF">2009-11-11T23:54:00Z</dcterms:created>
  <cp:lastPrinted>2017-07-13T13:20:00Z</cp:lastPrinted>
  <dcterms:modified xsi:type="dcterms:W3CDTF">2018-08-08T07:00:57Z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2052-10.1.0.6930</vt:lpwstr>
  </property>
</Properties>
</file>